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8" activeTab="13"/>
  </bookViews>
  <sheets>
    <sheet name="Проф. народный жим 1 вес" sheetId="21" r:id="rId1"/>
    <sheet name="Люб. народный жим 1 вес" sheetId="20" r:id="rId2"/>
    <sheet name="РБ Проф 50 кг." sheetId="19" r:id="rId3"/>
    <sheet name="РЖ любители 75 кг." sheetId="18" r:id="rId4"/>
    <sheet name="РЖ любители 55 кг." sheetId="17" r:id="rId5"/>
    <sheet name="РЖ Проф 100 кг." sheetId="16" r:id="rId6"/>
    <sheet name="РЖ Проф 75 кг." sheetId="15" r:id="rId7"/>
    <sheet name="Пауэрспорт Любители" sheetId="14" r:id="rId8"/>
    <sheet name="Бицепс Профессионалы" sheetId="13" r:id="rId9"/>
    <sheet name="Бицепс Любители" sheetId="12" r:id="rId10"/>
    <sheet name="ПРО тяга б.э." sheetId="10" r:id="rId11"/>
    <sheet name="Люб. тяга б.э." sheetId="9" r:id="rId12"/>
    <sheet name="ПРО жим б.э." sheetId="8" r:id="rId13"/>
    <sheet name="Люб. жим б.э." sheetId="7" r:id="rId14"/>
    <sheet name="ПРО Военный жим класс." sheetId="6" r:id="rId15"/>
  </sheets>
  <calcPr calcId="162913" refMode="R1C1"/>
</workbook>
</file>

<file path=xl/calcChain.xml><?xml version="1.0" encoding="utf-8"?>
<calcChain xmlns="http://schemas.openxmlformats.org/spreadsheetml/2006/main">
  <c r="J9" i="21" l="1"/>
  <c r="I9" i="21"/>
  <c r="D9" i="21"/>
  <c r="J6" i="21"/>
  <c r="I6" i="21"/>
  <c r="D6" i="21"/>
  <c r="J12" i="20"/>
  <c r="I12" i="20"/>
  <c r="D12" i="20"/>
  <c r="J9" i="20"/>
  <c r="I9" i="20"/>
  <c r="D9" i="20"/>
  <c r="J8" i="20"/>
  <c r="I8" i="20"/>
  <c r="D8" i="20"/>
  <c r="J7" i="20"/>
  <c r="I7" i="20"/>
  <c r="D7" i="20"/>
  <c r="J6" i="20"/>
  <c r="I6" i="20"/>
  <c r="D6" i="20"/>
  <c r="J13" i="19"/>
  <c r="I13" i="19"/>
  <c r="D13" i="19"/>
  <c r="J12" i="19"/>
  <c r="I12" i="19"/>
  <c r="D12" i="19"/>
  <c r="J11" i="19"/>
  <c r="I11" i="19"/>
  <c r="D11" i="19"/>
  <c r="J10" i="19"/>
  <c r="I10" i="19"/>
  <c r="D10" i="19"/>
  <c r="J9" i="19"/>
  <c r="I9" i="19"/>
  <c r="D9" i="19"/>
  <c r="J8" i="19"/>
  <c r="I8" i="19"/>
  <c r="D8" i="19"/>
  <c r="J7" i="19"/>
  <c r="I7" i="19"/>
  <c r="D7" i="19"/>
  <c r="J6" i="19"/>
  <c r="I6" i="19"/>
  <c r="D6" i="19"/>
  <c r="J8" i="18"/>
  <c r="I8" i="18"/>
  <c r="D8" i="18"/>
  <c r="J7" i="18"/>
  <c r="I7" i="18"/>
  <c r="D7" i="18"/>
  <c r="J6" i="18"/>
  <c r="I6" i="18"/>
  <c r="D6" i="18"/>
  <c r="J6" i="17"/>
  <c r="I6" i="17"/>
  <c r="D6" i="17"/>
  <c r="J6" i="16"/>
  <c r="I6" i="16"/>
  <c r="D6" i="16"/>
  <c r="J6" i="15"/>
  <c r="I6" i="15"/>
  <c r="D6" i="15"/>
  <c r="P6" i="14"/>
  <c r="O6" i="14"/>
  <c r="D6" i="14"/>
  <c r="L9" i="13"/>
  <c r="K9" i="13"/>
  <c r="D9" i="13"/>
  <c r="L6" i="13"/>
  <c r="K6" i="13"/>
  <c r="D6" i="13"/>
  <c r="L26" i="12"/>
  <c r="K26" i="12"/>
  <c r="D26" i="12"/>
  <c r="L23" i="12"/>
  <c r="K23" i="12"/>
  <c r="D23" i="12"/>
  <c r="L22" i="12"/>
  <c r="K22" i="12"/>
  <c r="D22" i="12"/>
  <c r="L21" i="12"/>
  <c r="K21" i="12"/>
  <c r="D21" i="12"/>
  <c r="L18" i="12"/>
  <c r="K18" i="12"/>
  <c r="D18" i="12"/>
  <c r="L17" i="12"/>
  <c r="K17" i="12"/>
  <c r="D17" i="12"/>
  <c r="L14" i="12"/>
  <c r="K14" i="12"/>
  <c r="D14" i="12"/>
  <c r="L13" i="12"/>
  <c r="K13" i="12"/>
  <c r="D13" i="12"/>
  <c r="L12" i="12"/>
  <c r="K12" i="12"/>
  <c r="D12" i="12"/>
  <c r="L9" i="12"/>
  <c r="K9" i="12"/>
  <c r="D9" i="12"/>
  <c r="L6" i="12"/>
  <c r="K6" i="12"/>
  <c r="D6" i="12"/>
  <c r="L20" i="10"/>
  <c r="K20" i="10"/>
  <c r="D20" i="10"/>
  <c r="L17" i="10"/>
  <c r="K17" i="10"/>
  <c r="D17" i="10"/>
  <c r="L14" i="10"/>
  <c r="K14" i="10"/>
  <c r="D14" i="10"/>
  <c r="L13" i="10"/>
  <c r="K13" i="10"/>
  <c r="D13" i="10"/>
  <c r="L10" i="10"/>
  <c r="K10" i="10"/>
  <c r="D10" i="10"/>
  <c r="L9" i="10"/>
  <c r="K9" i="10"/>
  <c r="D9" i="10"/>
  <c r="L6" i="10"/>
  <c r="K6" i="10"/>
  <c r="D6" i="10"/>
  <c r="L20" i="9"/>
  <c r="K20" i="9"/>
  <c r="D20" i="9"/>
  <c r="L17" i="9"/>
  <c r="K17" i="9"/>
  <c r="D17" i="9"/>
  <c r="L16" i="9"/>
  <c r="K16" i="9"/>
  <c r="D16" i="9"/>
  <c r="L13" i="9"/>
  <c r="K13" i="9"/>
  <c r="D13" i="9"/>
  <c r="L10" i="9"/>
  <c r="K10" i="9"/>
  <c r="D10" i="9"/>
  <c r="L9" i="9"/>
  <c r="K9" i="9"/>
  <c r="D9" i="9"/>
  <c r="L6" i="9"/>
  <c r="K6" i="9"/>
  <c r="D6" i="9"/>
  <c r="L18" i="8"/>
  <c r="K18" i="8"/>
  <c r="D18" i="8"/>
  <c r="L15" i="8"/>
  <c r="K15" i="8"/>
  <c r="D15" i="8"/>
  <c r="L12" i="8"/>
  <c r="K12" i="8"/>
  <c r="D12" i="8"/>
  <c r="L9" i="8"/>
  <c r="K9" i="8"/>
  <c r="D9" i="8"/>
  <c r="L6" i="8"/>
  <c r="K6" i="8"/>
  <c r="D6" i="8"/>
  <c r="L35" i="7"/>
  <c r="K35" i="7"/>
  <c r="D35" i="7"/>
  <c r="L34" i="7"/>
  <c r="K34" i="7"/>
  <c r="D34" i="7"/>
  <c r="L31" i="7"/>
  <c r="K31" i="7"/>
  <c r="D31" i="7"/>
  <c r="L30" i="7"/>
  <c r="K30" i="7"/>
  <c r="D30" i="7"/>
  <c r="L29" i="7"/>
  <c r="K29" i="7"/>
  <c r="D29" i="7"/>
  <c r="L26" i="7"/>
  <c r="K26" i="7"/>
  <c r="D26" i="7"/>
  <c r="L25" i="7"/>
  <c r="K25" i="7"/>
  <c r="D25" i="7"/>
  <c r="L24" i="7"/>
  <c r="K24" i="7"/>
  <c r="D24" i="7"/>
  <c r="L21" i="7"/>
  <c r="K21" i="7"/>
  <c r="D21" i="7"/>
  <c r="L20" i="7"/>
  <c r="K20" i="7"/>
  <c r="D20" i="7"/>
  <c r="L19" i="7"/>
  <c r="K19" i="7"/>
  <c r="D19" i="7"/>
  <c r="L16" i="7"/>
  <c r="K16" i="7"/>
  <c r="D16" i="7"/>
  <c r="L15" i="7"/>
  <c r="K15" i="7"/>
  <c r="D15" i="7"/>
  <c r="L14" i="7"/>
  <c r="K14" i="7"/>
  <c r="D14" i="7"/>
  <c r="L13" i="7"/>
  <c r="K13" i="7"/>
  <c r="D13" i="7"/>
  <c r="L12" i="7"/>
  <c r="K12" i="7"/>
  <c r="D12" i="7"/>
  <c r="L9" i="7"/>
  <c r="K9" i="7"/>
  <c r="D9" i="7"/>
  <c r="L6" i="7"/>
  <c r="K6" i="7"/>
  <c r="D6" i="7"/>
  <c r="L6" i="6"/>
  <c r="K6" i="6"/>
  <c r="D6" i="6"/>
</calcChain>
</file>

<file path=xl/sharedStrings.xml><?xml version="1.0" encoding="utf-8"?>
<sst xmlns="http://schemas.openxmlformats.org/spreadsheetml/2006/main" count="1664" uniqueCount="508">
  <si>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</si>
  <si>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</si>
  <si>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</si>
  <si>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</si>
  <si>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</si>
  <si>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</si>
  <si>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</si>
  <si>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</si>
  <si>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</si>
  <si>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</si>
  <si>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</si>
  <si>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</si>
  <si>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</si>
  <si>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</si>
  <si>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</si>
  <si>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</si>
  <si>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</si>
  <si>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Результат</t>
  </si>
  <si>
    <t>Кубок Ханты-Мансийского автономного округа-Югра. Magic Khant
ПРО военный жим классический
Нижневартовск/Ханты-Мансийский автономный округ 21 - 22 мая 2021 г.</t>
  </si>
  <si>
    <t>Shv/Mel</t>
  </si>
  <si>
    <t>Жим лёжа</t>
  </si>
  <si>
    <t>ВЕСОВАЯ КАТЕГОРИЯ   125</t>
  </si>
  <si>
    <t>Юсупов Роман</t>
  </si>
  <si>
    <t>1. Юсупов Роман</t>
  </si>
  <si>
    <t>Мастера 45 - 49 (27.04.1974)/47</t>
  </si>
  <si>
    <t>122,50</t>
  </si>
  <si>
    <t xml:space="preserve">Мегион </t>
  </si>
  <si>
    <t xml:space="preserve">Мегион/Ханты-Мансийский автономный округ </t>
  </si>
  <si>
    <t>160,0</t>
  </si>
  <si>
    <t>165,0</t>
  </si>
  <si>
    <t>172,5</t>
  </si>
  <si>
    <t xml:space="preserve">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</si>
  <si>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</si>
  <si>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</si>
  <si>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</si>
  <si>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</si>
  <si>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</si>
  <si>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</si>
  <si>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</si>
  <si>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</si>
  <si>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 xml:space="preserve">Мастера 45 - 49 </t>
  </si>
  <si>
    <t>125</t>
  </si>
  <si>
    <t>98,7624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</si>
  <si>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</si>
  <si>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</si>
  <si>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</si>
  <si>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</si>
  <si>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</si>
  <si>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Юсупов Роман </t>
  </si>
  <si>
    <t>Кубок Ханты-Мансийского автономного округа-Югра. Magic Khant
Любители жим лежа без экипировки
Нижневартовск/Ханты-Мансийский автономный округ 21 - 22 мая 2021 г.</t>
  </si>
  <si>
    <t>ВЕСОВАЯ КАТЕГОРИЯ   60</t>
  </si>
  <si>
    <t>Стрижаков Кирилл</t>
  </si>
  <si>
    <t>1. Стрижаков Кирилл</t>
  </si>
  <si>
    <t>Юноши 14-15 (19.07.2006)/14</t>
  </si>
  <si>
    <t>59,70</t>
  </si>
  <si>
    <t xml:space="preserve">Варт Класс </t>
  </si>
  <si>
    <t xml:space="preserve">Нижневартовск/Ханты-Мансийский автономный округ </t>
  </si>
  <si>
    <t>45,0</t>
  </si>
  <si>
    <t>50,0</t>
  </si>
  <si>
    <t>55,0</t>
  </si>
  <si>
    <t xml:space="preserve">Максимов Вадим </t>
  </si>
  <si>
    <t>ВЕСОВАЯ КАТЕГОРИЯ   67.5</t>
  </si>
  <si>
    <t>Руднев Вячеслав</t>
  </si>
  <si>
    <t>1. Руднев Вячеслав</t>
  </si>
  <si>
    <t>Открытая (25.11.1986)/34</t>
  </si>
  <si>
    <t>64,20</t>
  </si>
  <si>
    <t xml:space="preserve">Юность Самотлора </t>
  </si>
  <si>
    <t>100,0</t>
  </si>
  <si>
    <t>110,0</t>
  </si>
  <si>
    <t>115,0</t>
  </si>
  <si>
    <t xml:space="preserve">Лавринович Юрий </t>
  </si>
  <si>
    <t>ВЕСОВАЯ КАТЕГОРИЯ   75</t>
  </si>
  <si>
    <t>Голубков Игорь</t>
  </si>
  <si>
    <t>1. Голубков Игорь</t>
  </si>
  <si>
    <t>Открытая (01.06.1994)/26</t>
  </si>
  <si>
    <t>74,80</t>
  </si>
  <si>
    <t xml:space="preserve">Славтэк - фитнес </t>
  </si>
  <si>
    <t>157,5</t>
  </si>
  <si>
    <t>167,5</t>
  </si>
  <si>
    <t>170,0</t>
  </si>
  <si>
    <t>Варзаков Станислав</t>
  </si>
  <si>
    <t>2. Варзаков Станислав</t>
  </si>
  <si>
    <t>Открытая (15.05.1980)/41</t>
  </si>
  <si>
    <t>73,90</t>
  </si>
  <si>
    <t xml:space="preserve">лично </t>
  </si>
  <si>
    <t>135,0</t>
  </si>
  <si>
    <t>150,0</t>
  </si>
  <si>
    <t>Грищенко Андрей</t>
  </si>
  <si>
    <t>3. Грищенко Андрей</t>
  </si>
  <si>
    <t>Открытая (09.10.1994)/26</t>
  </si>
  <si>
    <t>73,40</t>
  </si>
  <si>
    <t>120,0</t>
  </si>
  <si>
    <t xml:space="preserve">Голубков Игорь </t>
  </si>
  <si>
    <t>1. Варзаков Станислав</t>
  </si>
  <si>
    <t>Мастера 40 - 44 (15.05.1980)/41</t>
  </si>
  <si>
    <t>Немолчев Владимир</t>
  </si>
  <si>
    <t>2. Немолчев Владимир</t>
  </si>
  <si>
    <t>Мастера 40 - 44 (05.11.1979)/41</t>
  </si>
  <si>
    <t>73,30</t>
  </si>
  <si>
    <t>ВЕСОВАЯ КАТЕГОРИЯ   82.5</t>
  </si>
  <si>
    <t>Цикунов Василий</t>
  </si>
  <si>
    <t>1. Цикунов Василий</t>
  </si>
  <si>
    <t>Открытая (15.08.1984)/36</t>
  </si>
  <si>
    <t>79,90</t>
  </si>
  <si>
    <t xml:space="preserve">Strong Fitness </t>
  </si>
  <si>
    <t>130,0</t>
  </si>
  <si>
    <t>147,5</t>
  </si>
  <si>
    <t>152,5</t>
  </si>
  <si>
    <t>Шурупов Анатолий</t>
  </si>
  <si>
    <t>2. Шурупов Анатолий</t>
  </si>
  <si>
    <t>Открытая (30.05.1981)/39</t>
  </si>
  <si>
    <t>81,90</t>
  </si>
  <si>
    <t>Малиновский Марк</t>
  </si>
  <si>
    <t>3. Малиновский Марк</t>
  </si>
  <si>
    <t>Открытая (06.10.1995)/25</t>
  </si>
  <si>
    <t>81,50</t>
  </si>
  <si>
    <t>125,0</t>
  </si>
  <si>
    <t>ВЕСОВАЯ КАТЕГОРИЯ   90</t>
  </si>
  <si>
    <t>Кириенко Андрей</t>
  </si>
  <si>
    <t>1. Кириенко Андрей</t>
  </si>
  <si>
    <t>Открытая (13.07.1988)/32</t>
  </si>
  <si>
    <t>85,90</t>
  </si>
  <si>
    <t xml:space="preserve">Лангепас/Ханты-Мансийский автономный округ </t>
  </si>
  <si>
    <t>155,0</t>
  </si>
  <si>
    <t>162,5</t>
  </si>
  <si>
    <t>Олейник Андрей</t>
  </si>
  <si>
    <t>2. Олейник Андрей</t>
  </si>
  <si>
    <t>Открытая (29.03.1987)/34</t>
  </si>
  <si>
    <t>85,50</t>
  </si>
  <si>
    <t>Махно Дмитрий</t>
  </si>
  <si>
    <t>1. Махно Дмитрий</t>
  </si>
  <si>
    <t>Мастера 40 - 44 (24.01.1981)/40</t>
  </si>
  <si>
    <t>89,90</t>
  </si>
  <si>
    <t>140,0</t>
  </si>
  <si>
    <t>ВЕСОВАЯ КАТЕГОРИЯ   100</t>
  </si>
  <si>
    <t>Настас Сергей</t>
  </si>
  <si>
    <t>1. Настас Сергей</t>
  </si>
  <si>
    <t>Открытая (04.08.1987)/33</t>
  </si>
  <si>
    <t>98,60</t>
  </si>
  <si>
    <t>Аксенов Виталий</t>
  </si>
  <si>
    <t>1. Аксенов Виталий</t>
  </si>
  <si>
    <t>Мастера 40 - 44 (16.05.1981)/40</t>
  </si>
  <si>
    <t>95,30</t>
  </si>
  <si>
    <t xml:space="preserve">Стрежевой/Томская область </t>
  </si>
  <si>
    <t>142,5</t>
  </si>
  <si>
    <t>Попов Антон</t>
  </si>
  <si>
    <t>2. Попов Антон</t>
  </si>
  <si>
    <t>Мастера 40 - 44 (13.05.1979)/42</t>
  </si>
  <si>
    <t>95,60</t>
  </si>
  <si>
    <t>137,5</t>
  </si>
  <si>
    <t xml:space="preserve">Козырев Александр Иванович </t>
  </si>
  <si>
    <t>ВЕСОВАЯ КАТЕГОРИЯ   110</t>
  </si>
  <si>
    <t>Шевченко Марк</t>
  </si>
  <si>
    <t>1. Шевченко Марк</t>
  </si>
  <si>
    <t>Юноши 16 - 17 (21.02.2004)/17</t>
  </si>
  <si>
    <t>107,90</t>
  </si>
  <si>
    <t>87,5</t>
  </si>
  <si>
    <t>95,0</t>
  </si>
  <si>
    <t>Пашков Дмитрий</t>
  </si>
  <si>
    <t>1. Пашков Дмитрий</t>
  </si>
  <si>
    <t>Открытая (11.06.1984)/36</t>
  </si>
  <si>
    <t>106,30</t>
  </si>
  <si>
    <t xml:space="preserve">Юноши </t>
  </si>
  <si>
    <t xml:space="preserve">Юноши 16 - 17 </t>
  </si>
  <si>
    <t>110</t>
  </si>
  <si>
    <t>55,3219</t>
  </si>
  <si>
    <t xml:space="preserve">Юноши 14-15 </t>
  </si>
  <si>
    <t>60</t>
  </si>
  <si>
    <t>55,2700</t>
  </si>
  <si>
    <t xml:space="preserve">Открытая </t>
  </si>
  <si>
    <t>75</t>
  </si>
  <si>
    <t>113,2030</t>
  </si>
  <si>
    <t>90</t>
  </si>
  <si>
    <t>102,4590</t>
  </si>
  <si>
    <t>100,8450</t>
  </si>
  <si>
    <t>82.5</t>
  </si>
  <si>
    <t>96,6087</t>
  </si>
  <si>
    <t>94,9160</t>
  </si>
  <si>
    <t>100</t>
  </si>
  <si>
    <t>90,5938</t>
  </si>
  <si>
    <t>83,9480</t>
  </si>
  <si>
    <t>67.5</t>
  </si>
  <si>
    <t>83,6220</t>
  </si>
  <si>
    <t>74,9520</t>
  </si>
  <si>
    <t>74,3600</t>
  </si>
  <si>
    <t>72,5400</t>
  </si>
  <si>
    <t xml:space="preserve">Мастера 40 - 44 </t>
  </si>
  <si>
    <t>101,1475</t>
  </si>
  <si>
    <t>90,7835</t>
  </si>
  <si>
    <t>81,3809</t>
  </si>
  <si>
    <t>80,7833</t>
  </si>
  <si>
    <t>78,0540</t>
  </si>
  <si>
    <t xml:space="preserve">45(9+12+12+12) </t>
  </si>
  <si>
    <t xml:space="preserve">Попов Антон, Шевченко Марк, Пашков Дмитрий, Стрижаков Кирилл </t>
  </si>
  <si>
    <t xml:space="preserve">33(12+12+9) </t>
  </si>
  <si>
    <t xml:space="preserve">Махно Дмитрий, Цикунов Василий, Шурупов Анатолий </t>
  </si>
  <si>
    <t xml:space="preserve">18(9+9) </t>
  </si>
  <si>
    <t xml:space="preserve">Олейник Андрей, Немолчев Владимир </t>
  </si>
  <si>
    <t xml:space="preserve">Руднев Вячеслав </t>
  </si>
  <si>
    <t>Кубок Ханты-Мансийского автономного округа-Югра. Magic Khant
ПРО жим лежа без экипировки
Нижневартовск/Ханты-Мансийский автономный округ 21 - 22 мая 2021 г.</t>
  </si>
  <si>
    <t>Климачевский Денис</t>
  </si>
  <si>
    <t>1. Климачевский Денис</t>
  </si>
  <si>
    <t>Мастера 40 - 44 (04.04.1980)/41</t>
  </si>
  <si>
    <t>75,00</t>
  </si>
  <si>
    <t>175,0</t>
  </si>
  <si>
    <t>185,0</t>
  </si>
  <si>
    <t>190,0</t>
  </si>
  <si>
    <t>Галич Олег</t>
  </si>
  <si>
    <t>1. Галич Олег</t>
  </si>
  <si>
    <t>Открытая (11.03.1984)/37</t>
  </si>
  <si>
    <t>80,00</t>
  </si>
  <si>
    <t>180,0</t>
  </si>
  <si>
    <t>195,0</t>
  </si>
  <si>
    <t>Казаринов Сергей</t>
  </si>
  <si>
    <t>1. Казаринов Сергей</t>
  </si>
  <si>
    <t>Открытая (03.07.1987)/33</t>
  </si>
  <si>
    <t>96,80</t>
  </si>
  <si>
    <t>Муслиев Апти</t>
  </si>
  <si>
    <t>1. Муслиев Апти</t>
  </si>
  <si>
    <t>Мастера 60 - 64 (12.10.1960)/60</t>
  </si>
  <si>
    <t>123,40</t>
  </si>
  <si>
    <t>80,0</t>
  </si>
  <si>
    <t xml:space="preserve">Ахметдзянов Ильдар </t>
  </si>
  <si>
    <t>ВЕСОВАЯ КАТЕГОРИЯ   140</t>
  </si>
  <si>
    <t>Зубарев Андрей</t>
  </si>
  <si>
    <t>1. Зубарев Андрей</t>
  </si>
  <si>
    <t>Мастера 40 - 44 (01.02.1981)/40</t>
  </si>
  <si>
    <t>132,30</t>
  </si>
  <si>
    <t xml:space="preserve">Олимп </t>
  </si>
  <si>
    <t>200,0</t>
  </si>
  <si>
    <t>120,2510</t>
  </si>
  <si>
    <t>104,0440</t>
  </si>
  <si>
    <t>126,6338</t>
  </si>
  <si>
    <t>140</t>
  </si>
  <si>
    <t>102,4480</t>
  </si>
  <si>
    <t xml:space="preserve">Мастера 60 - 64 </t>
  </si>
  <si>
    <t>68,8531</t>
  </si>
  <si>
    <t xml:space="preserve">24(12+12) </t>
  </si>
  <si>
    <t xml:space="preserve">Муслиев Апти, Казаринов Сергей </t>
  </si>
  <si>
    <t xml:space="preserve">Зубарев Андрей </t>
  </si>
  <si>
    <t xml:space="preserve">Климачевский Денис </t>
  </si>
  <si>
    <t>Кубок Ханты-Мансийского автономного округа-Югра. Magic Khant
Любители становая тяга без экипировки
Нижневартовск/Ханты-Мансийский автономный округ 21 - 22 мая 2021 г.</t>
  </si>
  <si>
    <t>Становая тяга</t>
  </si>
  <si>
    <t>Воробьев Максим</t>
  </si>
  <si>
    <t>1. Воробьев Максим</t>
  </si>
  <si>
    <t>Открытая (30.01.1984)/37</t>
  </si>
  <si>
    <t>65,90</t>
  </si>
  <si>
    <t>Храмков Лев</t>
  </si>
  <si>
    <t>1. Храмков Лев</t>
  </si>
  <si>
    <t>Юноши 16 - 17 (28.07.2003)/17</t>
  </si>
  <si>
    <t>73,10</t>
  </si>
  <si>
    <t>1. Немолчев Владимир</t>
  </si>
  <si>
    <t>Веремеев Евгений</t>
  </si>
  <si>
    <t>1. Веремеев Евгений</t>
  </si>
  <si>
    <t>Открытая (12.05.1986)/35</t>
  </si>
  <si>
    <t>82,20</t>
  </si>
  <si>
    <t>182,5</t>
  </si>
  <si>
    <t>187,5</t>
  </si>
  <si>
    <t>Козырев Александр</t>
  </si>
  <si>
    <t>1. Козырев Александр</t>
  </si>
  <si>
    <t>Открытая (18.10.1978)/42</t>
  </si>
  <si>
    <t>99,60</t>
  </si>
  <si>
    <t>230,0</t>
  </si>
  <si>
    <t>247,5</t>
  </si>
  <si>
    <t>252,5</t>
  </si>
  <si>
    <t>Мастера 40 - 44 (18.10.1978)/42</t>
  </si>
  <si>
    <t>Попов Алексей</t>
  </si>
  <si>
    <t>1. Попов Алексей</t>
  </si>
  <si>
    <t>Мастера 45 - 49 (29.10.1975)/45</t>
  </si>
  <si>
    <t>134,50</t>
  </si>
  <si>
    <t>250,0</t>
  </si>
  <si>
    <t xml:space="preserve">Пахомов Юрий </t>
  </si>
  <si>
    <t>124,5175</t>
  </si>
  <si>
    <t>140,1375</t>
  </si>
  <si>
    <t>113,3142</t>
  </si>
  <si>
    <t>103,8520</t>
  </si>
  <si>
    <t>141,3987</t>
  </si>
  <si>
    <t>133,5152</t>
  </si>
  <si>
    <t>132,3524</t>
  </si>
  <si>
    <t xml:space="preserve">36(12+12+12) </t>
  </si>
  <si>
    <t xml:space="preserve">Веремеев Евгений, Козырев Александр, Козырев Александр </t>
  </si>
  <si>
    <t xml:space="preserve">Храмков Лев, Немолчев Владимир </t>
  </si>
  <si>
    <t>Кубок Ханты-Мансийского автономного округа-Югра. Magic Khant
ПРО становая тяга без экипировки
Нижневартовск/Ханты-Мансийский автономный округ 21 - 22 мая 2021 г.</t>
  </si>
  <si>
    <t>Власов Алексей</t>
  </si>
  <si>
    <t>65,50</t>
  </si>
  <si>
    <t xml:space="preserve">Orange Fitness </t>
  </si>
  <si>
    <t>205,0</t>
  </si>
  <si>
    <t>220,0</t>
  </si>
  <si>
    <t>Тарасов Владимир</t>
  </si>
  <si>
    <t>1. Тарасов Владимир</t>
  </si>
  <si>
    <t>Открытая (25.02.1987)/34</t>
  </si>
  <si>
    <t>88,00</t>
  </si>
  <si>
    <t xml:space="preserve">Европа фитнес </t>
  </si>
  <si>
    <t>215,0</t>
  </si>
  <si>
    <t>225,0</t>
  </si>
  <si>
    <t>Чернышёв Денис</t>
  </si>
  <si>
    <t>2. Чернышёв Денис</t>
  </si>
  <si>
    <t>Открытая (15.06.1982)/38</t>
  </si>
  <si>
    <t>85,80</t>
  </si>
  <si>
    <t>Насибов Натиг</t>
  </si>
  <si>
    <t>1. Насибов Натиг</t>
  </si>
  <si>
    <t>Открытая (05.02.1992)/29</t>
  </si>
  <si>
    <t>98,30</t>
  </si>
  <si>
    <t>235,0</t>
  </si>
  <si>
    <t>Космынин Владимир</t>
  </si>
  <si>
    <t>2. Космынин Владимир</t>
  </si>
  <si>
    <t>Открытая (26.06.1990)/30</t>
  </si>
  <si>
    <t>96,60</t>
  </si>
  <si>
    <t>Пискунов Антон</t>
  </si>
  <si>
    <t>1. Пискунов Антон</t>
  </si>
  <si>
    <t>Открытая (15.03.1988)/33</t>
  </si>
  <si>
    <t>102,80</t>
  </si>
  <si>
    <t xml:space="preserve">Мороз Владимир Иванович </t>
  </si>
  <si>
    <t>Открытая (27.04.1974)/47</t>
  </si>
  <si>
    <t>270,0</t>
  </si>
  <si>
    <t>280,0</t>
  </si>
  <si>
    <t>164,1200</t>
  </si>
  <si>
    <t>146,8040</t>
  </si>
  <si>
    <t>139,5750</t>
  </si>
  <si>
    <t>127,6025</t>
  </si>
  <si>
    <t>126,0170</t>
  </si>
  <si>
    <t>108,5580</t>
  </si>
  <si>
    <t>78,8200</t>
  </si>
  <si>
    <t xml:space="preserve">Юсупов Роман, Насибов Натиг </t>
  </si>
  <si>
    <t xml:space="preserve">Чернышёв Денис, Космынин Владимир </t>
  </si>
  <si>
    <t xml:space="preserve">Власов Алексей </t>
  </si>
  <si>
    <t xml:space="preserve">Тарасов Владимир </t>
  </si>
  <si>
    <t xml:space="preserve">Пискунов Антон </t>
  </si>
  <si>
    <t>Кубок Ханты-Мансийского автономного округа-Югра. Magic Khant
Одиночный подъём штанги на бицепс Любители
Нижневартовск/Ханты-Мансийский автономный округ 21 - 22 мая 2021 г.</t>
  </si>
  <si>
    <t>Подъем на бицепс</t>
  </si>
  <si>
    <t>ВЕСОВАЯ КАТЕГОРИЯ   52</t>
  </si>
  <si>
    <t>Мокрушин Иван</t>
  </si>
  <si>
    <t>1. Мокрушин Иван</t>
  </si>
  <si>
    <t>Юноши 16 - 17 (07.07.2003)/17</t>
  </si>
  <si>
    <t>51,70</t>
  </si>
  <si>
    <t>27,5</t>
  </si>
  <si>
    <t>32,5</t>
  </si>
  <si>
    <t>35,0</t>
  </si>
  <si>
    <t>25,0</t>
  </si>
  <si>
    <t>30,0</t>
  </si>
  <si>
    <t>47,5</t>
  </si>
  <si>
    <t>52,5</t>
  </si>
  <si>
    <t>Артышко Семён</t>
  </si>
  <si>
    <t>1. Артышко Семён</t>
  </si>
  <si>
    <t>Юноши 18 - 19 (26.09.2002)/18</t>
  </si>
  <si>
    <t>72,60</t>
  </si>
  <si>
    <t>40,0</t>
  </si>
  <si>
    <t>60,0</t>
  </si>
  <si>
    <t>Кабанов Иван</t>
  </si>
  <si>
    <t>1. Кабанов Иван</t>
  </si>
  <si>
    <t>Юниоры 20 - 23 (29.03.1998)/23</t>
  </si>
  <si>
    <t>81,00</t>
  </si>
  <si>
    <t xml:space="preserve">Нижневартовск/Ханты-Мансийский авт. окр. </t>
  </si>
  <si>
    <t>82,5</t>
  </si>
  <si>
    <t>85,0</t>
  </si>
  <si>
    <t>62,5</t>
  </si>
  <si>
    <t>70,0</t>
  </si>
  <si>
    <t>75,0</t>
  </si>
  <si>
    <t>Полудницин Сергей</t>
  </si>
  <si>
    <t>1. Полудницин Сергей</t>
  </si>
  <si>
    <t>Открытая (16.01.1991)/30</t>
  </si>
  <si>
    <t>80,90</t>
  </si>
  <si>
    <t>65,0</t>
  </si>
  <si>
    <t>Полудницин Алексей</t>
  </si>
  <si>
    <t>1. Полудницин Алексей</t>
  </si>
  <si>
    <t>Открытая (12.05.1987)/34</t>
  </si>
  <si>
    <t>89,00</t>
  </si>
  <si>
    <t>Попков Сергей</t>
  </si>
  <si>
    <t>1. Попков Сергей</t>
  </si>
  <si>
    <t>Мастера 40 - 44 (21.12.1976)/44</t>
  </si>
  <si>
    <t>85,00</t>
  </si>
  <si>
    <t>Лобанов Геннадий</t>
  </si>
  <si>
    <t>1. Лобанов Геннадий</t>
  </si>
  <si>
    <t>Мастера 60 - 64 (28.02.1960)/61</t>
  </si>
  <si>
    <t>87,10</t>
  </si>
  <si>
    <t>77,5</t>
  </si>
  <si>
    <t>40,2851</t>
  </si>
  <si>
    <t>52</t>
  </si>
  <si>
    <t>36,2124</t>
  </si>
  <si>
    <t>32,6596</t>
  </si>
  <si>
    <t xml:space="preserve">Юноши 18 - 19 </t>
  </si>
  <si>
    <t>28,9168</t>
  </si>
  <si>
    <t xml:space="preserve">Юниоры </t>
  </si>
  <si>
    <t xml:space="preserve">Юниоры 20 - 23 </t>
  </si>
  <si>
    <t>47,0475</t>
  </si>
  <si>
    <t>43,0125</t>
  </si>
  <si>
    <t>41,2510</t>
  </si>
  <si>
    <t>40,8135</t>
  </si>
  <si>
    <t>53,3090</t>
  </si>
  <si>
    <t>43,8000</t>
  </si>
  <si>
    <t>37,3302</t>
  </si>
  <si>
    <t xml:space="preserve">96(12+12+12+12+12+12+12+12) </t>
  </si>
  <si>
    <t xml:space="preserve">Попков Сергей, Мокрушин Иван, Артышко Семён, Лобанов Геннадий, Стрижаков Кирилл, Полудницин Сергей, Козырев Александр, Полудницин Алексей </t>
  </si>
  <si>
    <t xml:space="preserve">Кабанов Иван </t>
  </si>
  <si>
    <t>Кубок Ханты-Мансийского автономного округа-Югра. Magic Khant
Одиночный подъём штанги на бицепс Профессионалы
Нижневартовск/Ханты-Мансийский автономный округ 21 - 22 мая 2021 г.</t>
  </si>
  <si>
    <t>Садрутдинов Азамат</t>
  </si>
  <si>
    <t>1. Садрутдинов Азамат</t>
  </si>
  <si>
    <t>Открытая (07.09.1981)/39</t>
  </si>
  <si>
    <t>86,70</t>
  </si>
  <si>
    <t>72,5</t>
  </si>
  <si>
    <t>90,0</t>
  </si>
  <si>
    <t>46,4302</t>
  </si>
  <si>
    <t>48,6655</t>
  </si>
  <si>
    <t xml:space="preserve">Садрутдинов Азамат </t>
  </si>
  <si>
    <t>Кубок Ханты-Мансийского автономного округа-Югра. Magic Khant
Пауэрспорт Любители
Нижневартовск/Ханты-Мансийский автономный округ 21 - 22 мая 2021 г.</t>
  </si>
  <si>
    <t>Жим стоя</t>
  </si>
  <si>
    <t>98,7998</t>
  </si>
  <si>
    <t>Кубок Ханты-Мансийского автономного округа-Югра. Magic Khant
Русский жим профессионалы 75 кг.
Нижневартовск/Ханты-Мансийский автономный округ 21 - 22 мая 2021 г.</t>
  </si>
  <si>
    <t>Атлетизм</t>
  </si>
  <si>
    <t>Русский жим</t>
  </si>
  <si>
    <t>ВЕСОВАЯ КАТЕГОРИЯ   All</t>
  </si>
  <si>
    <t>Трегубов Антон</t>
  </si>
  <si>
    <t>1. Трегубов Антон</t>
  </si>
  <si>
    <t>Мастера 40 - 44 (17.11.1977)/43</t>
  </si>
  <si>
    <t>73,80</t>
  </si>
  <si>
    <t xml:space="preserve">Лениногорск/Татарстан республика </t>
  </si>
  <si>
    <t>34,0</t>
  </si>
  <si>
    <t xml:space="preserve">Атлетизм </t>
  </si>
  <si>
    <t>All</t>
  </si>
  <si>
    <t>2550,0</t>
  </si>
  <si>
    <t>34,5528</t>
  </si>
  <si>
    <t xml:space="preserve">Трегубов Антон </t>
  </si>
  <si>
    <t>Тоннаж</t>
  </si>
  <si>
    <t>Кубок Ханты-Мансийского автономного округа-Югра. Magic Khant
Русский жим профессионалы 100 кг.
Нижневартовск/Ханты-Мансийский автономный округ 21 - 22 мая 2021 г.</t>
  </si>
  <si>
    <t>19,0</t>
  </si>
  <si>
    <t>1900,0</t>
  </si>
  <si>
    <t>21,9146</t>
  </si>
  <si>
    <t>Кубок Ханты-Мансийского автономного округа-Югра. Magic Khant
Русский жим любители 55 кг.
Нижневартовск/Ханты-Мансийский автономный округ 21 - 22 мая 2021 г.</t>
  </si>
  <si>
    <t>Бороздин Эдуард</t>
  </si>
  <si>
    <t>1. Бороздин Эдуард</t>
  </si>
  <si>
    <t>Мастера 50 - 54 (04.08.1967)/53</t>
  </si>
  <si>
    <t>89,10</t>
  </si>
  <si>
    <t xml:space="preserve">Сургут/Ханты-Мансийский автономный округ </t>
  </si>
  <si>
    <t xml:space="preserve">Мастера 50 - 54 </t>
  </si>
  <si>
    <t>3025,0</t>
  </si>
  <si>
    <t>33,9506</t>
  </si>
  <si>
    <t>Кубок Ханты-Мансийского автономного округа-Югра. Magic Khant
Русский жим любители 75 кг.
Нижневартовск/Ханты-Мансийский автономный округ 21 - 22 мая 2021 г.</t>
  </si>
  <si>
    <t>39,0</t>
  </si>
  <si>
    <t>Гапич Никита</t>
  </si>
  <si>
    <t>2. Гапич Никита</t>
  </si>
  <si>
    <t>Открытая (10.06.1991)/29</t>
  </si>
  <si>
    <t>74,90</t>
  </si>
  <si>
    <t>37,0</t>
  </si>
  <si>
    <t>2925,0</t>
  </si>
  <si>
    <t>39,5805</t>
  </si>
  <si>
    <t>2775,0</t>
  </si>
  <si>
    <t>37,0493</t>
  </si>
  <si>
    <t>Кубок Ханты-Мансийского автономного округа-Югра. Magic Khant
Русский бицепс профессионалы 50 кг.
Нижневартовск/Ханты-Мансийский автономный округ 21 - 22 мая 2021 г.</t>
  </si>
  <si>
    <t>Подъем на бицепс мн.повт.</t>
  </si>
  <si>
    <t>Шайхутдинов Айрат</t>
  </si>
  <si>
    <t>1. Шайхутдинов Айрат</t>
  </si>
  <si>
    <t>Юноши 18 - 19 (09.01.2002)/19</t>
  </si>
  <si>
    <t>70,30</t>
  </si>
  <si>
    <t>5,0</t>
  </si>
  <si>
    <t>Лавринович Юрий</t>
  </si>
  <si>
    <t>1. Лавринович Юрий</t>
  </si>
  <si>
    <t>Открытая (18.04.1984)/37</t>
  </si>
  <si>
    <t>73,70</t>
  </si>
  <si>
    <t>51,0</t>
  </si>
  <si>
    <t>3. Пашков Дмитрий</t>
  </si>
  <si>
    <t>4. Чернышёв Денис</t>
  </si>
  <si>
    <t>21,0</t>
  </si>
  <si>
    <t>36,0</t>
  </si>
  <si>
    <t>Сахипов Дамир</t>
  </si>
  <si>
    <t>1. Сахипов Дамир</t>
  </si>
  <si>
    <t>Мастера 50 - 54 (16.08.1967)/53</t>
  </si>
  <si>
    <t>24,0</t>
  </si>
  <si>
    <t>3,5561</t>
  </si>
  <si>
    <t>34,5997</t>
  </si>
  <si>
    <t>25,9409</t>
  </si>
  <si>
    <t>1850,0</t>
  </si>
  <si>
    <t>17,4035</t>
  </si>
  <si>
    <t>1050,0</t>
  </si>
  <si>
    <t>12,2377</t>
  </si>
  <si>
    <t>1800,0</t>
  </si>
  <si>
    <t>24,3902</t>
  </si>
  <si>
    <t>13,7546</t>
  </si>
  <si>
    <t>1200,0</t>
  </si>
  <si>
    <t>13,3481</t>
  </si>
  <si>
    <t xml:space="preserve">39(12+8+7+12) </t>
  </si>
  <si>
    <t xml:space="preserve">Трегубов Антон, Пашков Дмитрий, Чернышёв Денис, Шайхутдинов Айрат </t>
  </si>
  <si>
    <t xml:space="preserve">Сахипов Дамир </t>
  </si>
  <si>
    <t xml:space="preserve">9(9) </t>
  </si>
  <si>
    <t xml:space="preserve">Насибов Натиг </t>
  </si>
  <si>
    <t>Кубок Ханты-Мансийского автономного округа-Югра. Magic Khant
Любители народный жим (1 вес)
Нижневартовск/Ханты-Мансийский автономный округ 21 - 22 мая 2021 г.</t>
  </si>
  <si>
    <t>НАП Н.Ж.</t>
  </si>
  <si>
    <t>Народный жим</t>
  </si>
  <si>
    <t>2. Трегубов Антон</t>
  </si>
  <si>
    <t>29,0</t>
  </si>
  <si>
    <t xml:space="preserve">НАП Н.Ж. </t>
  </si>
  <si>
    <t>2336,1974</t>
  </si>
  <si>
    <t>2186,9775</t>
  </si>
  <si>
    <t>2039,4899</t>
  </si>
  <si>
    <t>2465,0</t>
  </si>
  <si>
    <t>1862,8005</t>
  </si>
  <si>
    <t xml:space="preserve">21(12+9) </t>
  </si>
  <si>
    <t xml:space="preserve">Попков Сергей, Трегубов Антон </t>
  </si>
  <si>
    <t>Кубок Ханты-Мансийского автономного округа-Югра. Magic Khant
Профессионалы народный жим (1 вес)
Нижневартовск/Ханты-Мансийский автономный округ 21 - 22 мая 2021 г.</t>
  </si>
  <si>
    <t>Сафин Альберт</t>
  </si>
  <si>
    <t>1. Сафин Альберт</t>
  </si>
  <si>
    <t>Открытая (24.09.1988)/32</t>
  </si>
  <si>
    <t>2500,0</t>
  </si>
  <si>
    <t>1661,2500</t>
  </si>
  <si>
    <t>3750,0</t>
  </si>
  <si>
    <t>2951,2500</t>
  </si>
  <si>
    <t xml:space="preserve">Сафин Альберт, Климачевский Денис </t>
  </si>
  <si>
    <t>1. Соколов Дмитрий</t>
  </si>
  <si>
    <t>Открытая (05.03.1988)/33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</si>
</sst>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K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34.8554687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7" width="5.5703125" style="3" customWidth="1"/>
    <col min="8" max="8" width="10.42578125" style="3" customWidth="1"/>
    <col min="9" max="9" width="7.85546875" style="7" bestFit="1" customWidth="1"/>
    <col min="10" max="10" width="9.5703125" style="2" bestFit="1" customWidth="1"/>
    <col min="11" max="11" width="17.5703125" style="4" bestFit="1" customWidth="1"/>
    <col min="12" max="16384" width="9.140625" style="3"/>
  </cols>
  <sheetData>
    <row r="1" spans="1:11" s="2" customFormat="1" ht="29.1" customHeight="1" x14ac:dyDescent="0.2">
      <c r="A1" s="42" t="s">
        <v>497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485</v>
      </c>
      <c r="E3" s="36" t="s">
        <v>4</v>
      </c>
      <c r="F3" s="36" t="s">
        <v>7</v>
      </c>
      <c r="G3" s="36" t="s">
        <v>486</v>
      </c>
      <c r="H3" s="36"/>
      <c r="I3" s="36" t="s">
        <v>422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71</v>
      </c>
      <c r="B5" s="41"/>
      <c r="C5" s="41"/>
      <c r="D5" s="41"/>
      <c r="E5" s="41"/>
      <c r="F5" s="41"/>
      <c r="G5" s="41"/>
      <c r="H5" s="41"/>
    </row>
    <row r="6" spans="1:11" x14ac:dyDescent="0.2">
      <c r="A6" s="9" t="s">
        <v>201</v>
      </c>
      <c r="B6" s="9" t="s">
        <v>202</v>
      </c>
      <c r="C6" s="9" t="s">
        <v>203</v>
      </c>
      <c r="D6" s="9" t="str">
        <f>"0,7870"</f>
        <v>0,7870</v>
      </c>
      <c r="E6" s="9" t="s">
        <v>66</v>
      </c>
      <c r="F6" s="9" t="s">
        <v>56</v>
      </c>
      <c r="G6" s="11" t="s">
        <v>357</v>
      </c>
      <c r="H6" s="11" t="s">
        <v>58</v>
      </c>
      <c r="I6" s="12" t="str">
        <f>"3750,0"</f>
        <v>3750,0</v>
      </c>
      <c r="J6" s="13" t="str">
        <f>"2951,2500"</f>
        <v>2951,2500</v>
      </c>
      <c r="K6" s="9" t="s">
        <v>31</v>
      </c>
    </row>
    <row r="8" spans="1:11" ht="15" x14ac:dyDescent="0.2">
      <c r="A8" s="35" t="s">
        <v>134</v>
      </c>
      <c r="B8" s="35"/>
      <c r="C8" s="35"/>
      <c r="D8" s="35"/>
      <c r="E8" s="35"/>
      <c r="F8" s="35"/>
      <c r="G8" s="35"/>
      <c r="H8" s="35"/>
    </row>
    <row r="9" spans="1:11" x14ac:dyDescent="0.2">
      <c r="A9" s="9" t="s">
        <v>499</v>
      </c>
      <c r="B9" s="9" t="s">
        <v>500</v>
      </c>
      <c r="C9" s="9" t="s">
        <v>261</v>
      </c>
      <c r="D9" s="9" t="str">
        <f>"0,6645"</f>
        <v>0,6645</v>
      </c>
      <c r="E9" s="9" t="s">
        <v>66</v>
      </c>
      <c r="F9" s="9" t="s">
        <v>56</v>
      </c>
      <c r="G9" s="11" t="s">
        <v>67</v>
      </c>
      <c r="H9" s="11" t="s">
        <v>338</v>
      </c>
      <c r="I9" s="12" t="str">
        <f>"2500,0"</f>
        <v>2500,0</v>
      </c>
      <c r="J9" s="13" t="str">
        <f>"1661,2500"</f>
        <v>1661,2500</v>
      </c>
      <c r="K9" s="9" t="s">
        <v>70</v>
      </c>
    </row>
    <row r="11" spans="1:11" ht="15" x14ac:dyDescent="0.2">
      <c r="E11" s="6" t="s">
        <v>11</v>
      </c>
    </row>
    <row r="12" spans="1:11" ht="15" x14ac:dyDescent="0.2">
      <c r="E12" s="6" t="s">
        <v>12</v>
      </c>
    </row>
    <row r="13" spans="1:11" ht="15" x14ac:dyDescent="0.2">
      <c r="E13" s="6" t="s">
        <v>13</v>
      </c>
    </row>
    <row r="14" spans="1:11" ht="15" x14ac:dyDescent="0.2">
      <c r="E14" s="6" t="s">
        <v>14</v>
      </c>
    </row>
    <row r="15" spans="1:11" ht="15" x14ac:dyDescent="0.2">
      <c r="E15" s="6" t="s">
        <v>14</v>
      </c>
    </row>
    <row r="16" spans="1:11" ht="15" x14ac:dyDescent="0.2">
      <c r="E16" s="6" t="s">
        <v>15</v>
      </c>
    </row>
    <row r="17" spans="1:5" ht="15" x14ac:dyDescent="0.2">
      <c r="E17" s="6"/>
    </row>
    <row r="19" spans="1:5" ht="18" x14ac:dyDescent="0.25">
      <c r="A19" s="8" t="s">
        <v>16</v>
      </c>
      <c r="B19" s="8"/>
    </row>
    <row r="20" spans="1:5" ht="15" x14ac:dyDescent="0.2">
      <c r="A20" s="14" t="s">
        <v>32</v>
      </c>
      <c r="B20" s="14"/>
    </row>
    <row r="21" spans="1:5" ht="14.25" x14ac:dyDescent="0.2">
      <c r="A21" s="16"/>
      <c r="B21" s="17" t="s">
        <v>169</v>
      </c>
    </row>
    <row r="22" spans="1:5" ht="15" x14ac:dyDescent="0.2">
      <c r="A22" s="18" t="s">
        <v>34</v>
      </c>
      <c r="B22" s="18" t="s">
        <v>35</v>
      </c>
      <c r="C22" s="18" t="s">
        <v>36</v>
      </c>
      <c r="D22" s="18" t="s">
        <v>38</v>
      </c>
      <c r="E22" s="18" t="s">
        <v>489</v>
      </c>
    </row>
    <row r="23" spans="1:5" x14ac:dyDescent="0.2">
      <c r="A23" s="15" t="s">
        <v>498</v>
      </c>
      <c r="B23" s="4" t="s">
        <v>169</v>
      </c>
      <c r="C23" s="4" t="s">
        <v>178</v>
      </c>
      <c r="D23" s="4" t="s">
        <v>501</v>
      </c>
      <c r="E23" s="7" t="s">
        <v>502</v>
      </c>
    </row>
    <row r="25" spans="1:5" ht="14.25" x14ac:dyDescent="0.2">
      <c r="A25" s="16"/>
      <c r="B25" s="17" t="s">
        <v>33</v>
      </c>
    </row>
    <row r="26" spans="1:5" ht="15" x14ac:dyDescent="0.2">
      <c r="A26" s="18" t="s">
        <v>34</v>
      </c>
      <c r="B26" s="18" t="s">
        <v>35</v>
      </c>
      <c r="C26" s="18" t="s">
        <v>36</v>
      </c>
      <c r="D26" s="18" t="s">
        <v>38</v>
      </c>
      <c r="E26" s="18" t="s">
        <v>489</v>
      </c>
    </row>
    <row r="27" spans="1:5" x14ac:dyDescent="0.2">
      <c r="A27" s="15" t="s">
        <v>200</v>
      </c>
      <c r="B27" s="4" t="s">
        <v>186</v>
      </c>
      <c r="C27" s="4" t="s">
        <v>170</v>
      </c>
      <c r="D27" s="4" t="s">
        <v>503</v>
      </c>
      <c r="E27" s="7" t="s">
        <v>504</v>
      </c>
    </row>
    <row r="32" spans="1:5" ht="18" x14ac:dyDescent="0.25">
      <c r="A32" s="8" t="s">
        <v>43</v>
      </c>
      <c r="B32" s="8"/>
    </row>
    <row r="33" spans="1:3" ht="15" x14ac:dyDescent="0.2">
      <c r="A33" s="18" t="s">
        <v>44</v>
      </c>
      <c r="B33" s="18" t="s">
        <v>45</v>
      </c>
      <c r="C33" s="18" t="s">
        <v>46</v>
      </c>
    </row>
    <row r="34" spans="1:3" x14ac:dyDescent="0.2">
      <c r="A34" s="4" t="s">
        <v>66</v>
      </c>
      <c r="B34" s="4" t="s">
        <v>237</v>
      </c>
      <c r="C34" s="4" t="s">
        <v>505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9.28515625" style="4" bestFit="1" customWidth="1"/>
    <col min="3" max="3" width="138.570312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9" width="4.5703125" style="3" customWidth="1"/>
    <col min="10" max="10" width="4.85546875" style="3" customWidth="1"/>
    <col min="11" max="11" width="7.85546875" style="7" bestFit="1" customWidth="1"/>
    <col min="12" max="12" width="7.5703125" style="2" bestFit="1" customWidth="1"/>
    <col min="13" max="13" width="16.7109375" style="4" bestFit="1" customWidth="1"/>
    <col min="14" max="16384" width="9.140625" style="3"/>
  </cols>
  <sheetData>
    <row r="1" spans="1:13" s="2" customFormat="1" ht="29.1" customHeight="1" x14ac:dyDescent="0.2">
      <c r="A1" s="42" t="s">
        <v>328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329</v>
      </c>
      <c r="H3" s="36"/>
      <c r="I3" s="36"/>
      <c r="J3" s="36"/>
      <c r="K3" s="36" t="s">
        <v>17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330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332</v>
      </c>
      <c r="B6" s="9" t="s">
        <v>333</v>
      </c>
      <c r="C6" s="9" t="s">
        <v>334</v>
      </c>
      <c r="D6" s="9" t="str">
        <f>"0,9580"</f>
        <v>0,9580</v>
      </c>
      <c r="E6" s="9" t="s">
        <v>55</v>
      </c>
      <c r="F6" s="9" t="s">
        <v>56</v>
      </c>
      <c r="G6" s="11" t="s">
        <v>335</v>
      </c>
      <c r="H6" s="11" t="s">
        <v>336</v>
      </c>
      <c r="I6" s="11" t="s">
        <v>337</v>
      </c>
      <c r="J6" s="10"/>
      <c r="K6" s="12" t="str">
        <f>"35,0"</f>
        <v>35,0</v>
      </c>
      <c r="L6" s="13" t="str">
        <f>"36,2124"</f>
        <v>36,2124</v>
      </c>
      <c r="M6" s="9" t="s">
        <v>60</v>
      </c>
    </row>
    <row r="8" spans="1:13" ht="15" x14ac:dyDescent="0.2">
      <c r="A8" s="35" t="s">
        <v>50</v>
      </c>
      <c r="B8" s="35"/>
      <c r="C8" s="35"/>
      <c r="D8" s="35"/>
      <c r="E8" s="35"/>
      <c r="F8" s="35"/>
      <c r="G8" s="35"/>
      <c r="H8" s="35"/>
      <c r="I8" s="35"/>
      <c r="J8" s="35"/>
    </row>
    <row r="9" spans="1:13" x14ac:dyDescent="0.2">
      <c r="A9" s="9" t="s">
        <v>52</v>
      </c>
      <c r="B9" s="9" t="s">
        <v>53</v>
      </c>
      <c r="C9" s="9" t="s">
        <v>54</v>
      </c>
      <c r="D9" s="9" t="str">
        <f>"0,8170"</f>
        <v>0,8170</v>
      </c>
      <c r="E9" s="9" t="s">
        <v>55</v>
      </c>
      <c r="F9" s="9" t="s">
        <v>56</v>
      </c>
      <c r="G9" s="11" t="s">
        <v>338</v>
      </c>
      <c r="H9" s="11" t="s">
        <v>339</v>
      </c>
      <c r="I9" s="11" t="s">
        <v>336</v>
      </c>
      <c r="J9" s="10"/>
      <c r="K9" s="12" t="str">
        <f>"32,5"</f>
        <v>32,5</v>
      </c>
      <c r="L9" s="13" t="str">
        <f>"32,6596"</f>
        <v>32,6596</v>
      </c>
      <c r="M9" s="9" t="s">
        <v>60</v>
      </c>
    </row>
    <row r="11" spans="1:13" ht="15" x14ac:dyDescent="0.2">
      <c r="A11" s="35" t="s">
        <v>71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 x14ac:dyDescent="0.2">
      <c r="A12" s="19" t="s">
        <v>248</v>
      </c>
      <c r="B12" s="19" t="s">
        <v>249</v>
      </c>
      <c r="C12" s="19" t="s">
        <v>250</v>
      </c>
      <c r="D12" s="19" t="str">
        <f>"0,6782"</f>
        <v>0,6782</v>
      </c>
      <c r="E12" s="19" t="s">
        <v>26</v>
      </c>
      <c r="F12" s="19" t="s">
        <v>56</v>
      </c>
      <c r="G12" s="21" t="s">
        <v>340</v>
      </c>
      <c r="H12" s="21" t="s">
        <v>341</v>
      </c>
      <c r="I12" s="21" t="s">
        <v>59</v>
      </c>
      <c r="J12" s="20"/>
      <c r="K12" s="28" t="str">
        <f>"55,0"</f>
        <v>55,0</v>
      </c>
      <c r="L12" s="29" t="str">
        <f>"40,2851"</f>
        <v>40,2851</v>
      </c>
      <c r="M12" s="19" t="s">
        <v>48</v>
      </c>
    </row>
    <row r="13" spans="1:13" x14ac:dyDescent="0.2">
      <c r="A13" s="22" t="s">
        <v>343</v>
      </c>
      <c r="B13" s="22" t="s">
        <v>344</v>
      </c>
      <c r="C13" s="22" t="s">
        <v>345</v>
      </c>
      <c r="D13" s="22" t="str">
        <f>"0,6820"</f>
        <v>0,6820</v>
      </c>
      <c r="E13" s="22" t="s">
        <v>55</v>
      </c>
      <c r="F13" s="22" t="s">
        <v>56</v>
      </c>
      <c r="G13" s="24" t="s">
        <v>346</v>
      </c>
      <c r="H13" s="23" t="s">
        <v>340</v>
      </c>
      <c r="I13" s="23" t="s">
        <v>340</v>
      </c>
      <c r="J13" s="23"/>
      <c r="K13" s="30" t="str">
        <f>"40,0"</f>
        <v>40,0</v>
      </c>
      <c r="L13" s="31" t="str">
        <f>"28,9168"</f>
        <v>28,9168</v>
      </c>
      <c r="M13" s="22" t="s">
        <v>60</v>
      </c>
    </row>
    <row r="14" spans="1:13" x14ac:dyDescent="0.2">
      <c r="A14" s="25" t="s">
        <v>251</v>
      </c>
      <c r="B14" s="25" t="s">
        <v>97</v>
      </c>
      <c r="C14" s="25" t="s">
        <v>98</v>
      </c>
      <c r="D14" s="25" t="str">
        <f>"0,6767"</f>
        <v>0,6767</v>
      </c>
      <c r="E14" s="25" t="s">
        <v>26</v>
      </c>
      <c r="F14" s="25" t="s">
        <v>27</v>
      </c>
      <c r="G14" s="27" t="s">
        <v>58</v>
      </c>
      <c r="H14" s="27" t="s">
        <v>59</v>
      </c>
      <c r="I14" s="26" t="s">
        <v>347</v>
      </c>
      <c r="J14" s="26"/>
      <c r="K14" s="32" t="str">
        <f>"55,0"</f>
        <v>55,0</v>
      </c>
      <c r="L14" s="33" t="str">
        <f>"37,3302"</f>
        <v>37,3302</v>
      </c>
      <c r="M14" s="25" t="s">
        <v>31</v>
      </c>
    </row>
    <row r="16" spans="1:13" ht="15" x14ac:dyDescent="0.2">
      <c r="A16" s="35" t="s">
        <v>99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3" x14ac:dyDescent="0.2">
      <c r="A17" s="19" t="s">
        <v>349</v>
      </c>
      <c r="B17" s="19" t="s">
        <v>350</v>
      </c>
      <c r="C17" s="19" t="s">
        <v>351</v>
      </c>
      <c r="D17" s="19" t="str">
        <f>"0,6273"</f>
        <v>0,6273</v>
      </c>
      <c r="E17" s="19" t="s">
        <v>76</v>
      </c>
      <c r="F17" s="19" t="s">
        <v>352</v>
      </c>
      <c r="G17" s="21" t="s">
        <v>355</v>
      </c>
      <c r="H17" s="21" t="s">
        <v>356</v>
      </c>
      <c r="I17" s="21" t="s">
        <v>357</v>
      </c>
      <c r="J17" s="20"/>
      <c r="K17" s="28" t="str">
        <f>"75,0"</f>
        <v>75,0</v>
      </c>
      <c r="L17" s="29" t="str">
        <f>"47,0475"</f>
        <v>47,0475</v>
      </c>
      <c r="M17" s="19" t="s">
        <v>31</v>
      </c>
    </row>
    <row r="18" spans="1:13" x14ac:dyDescent="0.2">
      <c r="A18" s="25" t="s">
        <v>359</v>
      </c>
      <c r="B18" s="25" t="s">
        <v>360</v>
      </c>
      <c r="C18" s="25" t="s">
        <v>361</v>
      </c>
      <c r="D18" s="25" t="str">
        <f>"0,6279"</f>
        <v>0,6279</v>
      </c>
      <c r="E18" s="25" t="s">
        <v>55</v>
      </c>
      <c r="F18" s="25" t="s">
        <v>56</v>
      </c>
      <c r="G18" s="27" t="s">
        <v>355</v>
      </c>
      <c r="H18" s="27" t="s">
        <v>362</v>
      </c>
      <c r="I18" s="26" t="s">
        <v>356</v>
      </c>
      <c r="J18" s="26"/>
      <c r="K18" s="32" t="str">
        <f>"65,0"</f>
        <v>65,0</v>
      </c>
      <c r="L18" s="33" t="str">
        <f>"40,8135"</f>
        <v>40,8135</v>
      </c>
      <c r="M18" s="25" t="s">
        <v>60</v>
      </c>
    </row>
    <row r="20" spans="1:13" ht="15" x14ac:dyDescent="0.2">
      <c r="A20" s="35" t="s">
        <v>117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3" x14ac:dyDescent="0.2">
      <c r="A21" s="19" t="s">
        <v>364</v>
      </c>
      <c r="B21" s="19" t="s">
        <v>365</v>
      </c>
      <c r="C21" s="19" t="s">
        <v>366</v>
      </c>
      <c r="D21" s="19" t="str">
        <f>"0,5893"</f>
        <v>0,5893</v>
      </c>
      <c r="E21" s="19" t="s">
        <v>55</v>
      </c>
      <c r="F21" s="19" t="s">
        <v>56</v>
      </c>
      <c r="G21" s="20" t="s">
        <v>362</v>
      </c>
      <c r="H21" s="21" t="s">
        <v>356</v>
      </c>
      <c r="I21" s="20" t="s">
        <v>357</v>
      </c>
      <c r="J21" s="20"/>
      <c r="K21" s="28" t="str">
        <f>"70,0"</f>
        <v>70,0</v>
      </c>
      <c r="L21" s="29" t="str">
        <f>"41,2510"</f>
        <v>41,2510</v>
      </c>
      <c r="M21" s="19" t="s">
        <v>60</v>
      </c>
    </row>
    <row r="22" spans="1:13" x14ac:dyDescent="0.2">
      <c r="A22" s="22" t="s">
        <v>368</v>
      </c>
      <c r="B22" s="22" t="s">
        <v>369</v>
      </c>
      <c r="C22" s="22" t="s">
        <v>370</v>
      </c>
      <c r="D22" s="22" t="str">
        <f>"0,6069"</f>
        <v>0,6069</v>
      </c>
      <c r="E22" s="22" t="s">
        <v>55</v>
      </c>
      <c r="F22" s="22" t="s">
        <v>56</v>
      </c>
      <c r="G22" s="24" t="s">
        <v>362</v>
      </c>
      <c r="H22" s="24" t="s">
        <v>356</v>
      </c>
      <c r="I22" s="23" t="s">
        <v>357</v>
      </c>
      <c r="J22" s="23"/>
      <c r="K22" s="30" t="str">
        <f>"70,0"</f>
        <v>70,0</v>
      </c>
      <c r="L22" s="31" t="str">
        <f>"43,8000"</f>
        <v>43,8000</v>
      </c>
      <c r="M22" s="22" t="s">
        <v>60</v>
      </c>
    </row>
    <row r="23" spans="1:13" x14ac:dyDescent="0.2">
      <c r="A23" s="25" t="s">
        <v>372</v>
      </c>
      <c r="B23" s="25" t="s">
        <v>373</v>
      </c>
      <c r="C23" s="25" t="s">
        <v>374</v>
      </c>
      <c r="D23" s="25" t="str">
        <f>"0,5973"</f>
        <v>0,5973</v>
      </c>
      <c r="E23" s="25" t="s">
        <v>55</v>
      </c>
      <c r="F23" s="25" t="s">
        <v>56</v>
      </c>
      <c r="G23" s="27" t="s">
        <v>57</v>
      </c>
      <c r="H23" s="27" t="s">
        <v>341</v>
      </c>
      <c r="I23" s="26" t="s">
        <v>59</v>
      </c>
      <c r="J23" s="26"/>
      <c r="K23" s="32" t="str">
        <f>"52,5"</f>
        <v>52,5</v>
      </c>
      <c r="L23" s="33" t="str">
        <f>"53,3090"</f>
        <v>53,3090</v>
      </c>
      <c r="M23" s="25" t="s">
        <v>60</v>
      </c>
    </row>
    <row r="25" spans="1:13" ht="15" x14ac:dyDescent="0.2">
      <c r="A25" s="35" t="s">
        <v>134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3" x14ac:dyDescent="0.2">
      <c r="A26" s="9" t="s">
        <v>259</v>
      </c>
      <c r="B26" s="9" t="s">
        <v>260</v>
      </c>
      <c r="C26" s="9" t="s">
        <v>261</v>
      </c>
      <c r="D26" s="9" t="str">
        <f>"0,5550"</f>
        <v>0,5550</v>
      </c>
      <c r="E26" s="9" t="s">
        <v>55</v>
      </c>
      <c r="F26" s="9" t="s">
        <v>56</v>
      </c>
      <c r="G26" s="11" t="s">
        <v>356</v>
      </c>
      <c r="H26" s="11" t="s">
        <v>357</v>
      </c>
      <c r="I26" s="11" t="s">
        <v>375</v>
      </c>
      <c r="J26" s="10"/>
      <c r="K26" s="12" t="str">
        <f>"77,5"</f>
        <v>77,5</v>
      </c>
      <c r="L26" s="13" t="str">
        <f>"43,0125"</f>
        <v>43,0125</v>
      </c>
      <c r="M26" s="9" t="s">
        <v>31</v>
      </c>
    </row>
    <row r="28" spans="1:13" ht="15" x14ac:dyDescent="0.2">
      <c r="E28" s="6" t="s">
        <v>11</v>
      </c>
    </row>
    <row r="29" spans="1:13" ht="15" x14ac:dyDescent="0.2">
      <c r="E29" s="6" t="s">
        <v>12</v>
      </c>
    </row>
    <row r="30" spans="1:13" ht="15" x14ac:dyDescent="0.2">
      <c r="E30" s="6" t="s">
        <v>13</v>
      </c>
    </row>
    <row r="31" spans="1:13" ht="15" x14ac:dyDescent="0.2">
      <c r="E31" s="6" t="s">
        <v>14</v>
      </c>
    </row>
    <row r="32" spans="1:13" ht="15" x14ac:dyDescent="0.2">
      <c r="E32" s="6" t="s">
        <v>14</v>
      </c>
    </row>
    <row r="33" spans="1:5" ht="15" x14ac:dyDescent="0.2">
      <c r="E33" s="6" t="s">
        <v>15</v>
      </c>
    </row>
    <row r="34" spans="1:5" ht="15" x14ac:dyDescent="0.2">
      <c r="E34" s="6"/>
    </row>
    <row r="36" spans="1:5" ht="18" x14ac:dyDescent="0.25">
      <c r="A36" s="8" t="s">
        <v>16</v>
      </c>
      <c r="B36" s="8"/>
    </row>
    <row r="37" spans="1:5" ht="15" x14ac:dyDescent="0.2">
      <c r="A37" s="14" t="s">
        <v>32</v>
      </c>
      <c r="B37" s="14"/>
    </row>
    <row r="38" spans="1:5" ht="14.25" x14ac:dyDescent="0.2">
      <c r="A38" s="16"/>
      <c r="B38" s="17" t="s">
        <v>162</v>
      </c>
    </row>
    <row r="39" spans="1:5" ht="15" x14ac:dyDescent="0.2">
      <c r="A39" s="18" t="s">
        <v>34</v>
      </c>
      <c r="B39" s="18" t="s">
        <v>35</v>
      </c>
      <c r="C39" s="18" t="s">
        <v>36</v>
      </c>
      <c r="D39" s="18" t="s">
        <v>38</v>
      </c>
      <c r="E39" s="18" t="s">
        <v>39</v>
      </c>
    </row>
    <row r="40" spans="1:5" x14ac:dyDescent="0.2">
      <c r="A40" s="15" t="s">
        <v>247</v>
      </c>
      <c r="B40" s="4" t="s">
        <v>163</v>
      </c>
      <c r="C40" s="4" t="s">
        <v>170</v>
      </c>
      <c r="D40" s="4" t="s">
        <v>59</v>
      </c>
      <c r="E40" s="7" t="s">
        <v>376</v>
      </c>
    </row>
    <row r="41" spans="1:5" x14ac:dyDescent="0.2">
      <c r="A41" s="15" t="s">
        <v>331</v>
      </c>
      <c r="B41" s="4" t="s">
        <v>163</v>
      </c>
      <c r="C41" s="4" t="s">
        <v>377</v>
      </c>
      <c r="D41" s="4" t="s">
        <v>337</v>
      </c>
      <c r="E41" s="7" t="s">
        <v>378</v>
      </c>
    </row>
    <row r="42" spans="1:5" x14ac:dyDescent="0.2">
      <c r="A42" s="15" t="s">
        <v>51</v>
      </c>
      <c r="B42" s="4" t="s">
        <v>166</v>
      </c>
      <c r="C42" s="4" t="s">
        <v>167</v>
      </c>
      <c r="D42" s="4" t="s">
        <v>336</v>
      </c>
      <c r="E42" s="7" t="s">
        <v>379</v>
      </c>
    </row>
    <row r="43" spans="1:5" x14ac:dyDescent="0.2">
      <c r="A43" s="15" t="s">
        <v>342</v>
      </c>
      <c r="B43" s="4" t="s">
        <v>380</v>
      </c>
      <c r="C43" s="4" t="s">
        <v>170</v>
      </c>
      <c r="D43" s="4" t="s">
        <v>346</v>
      </c>
      <c r="E43" s="7" t="s">
        <v>381</v>
      </c>
    </row>
    <row r="45" spans="1:5" ht="14.25" x14ac:dyDescent="0.2">
      <c r="A45" s="16"/>
      <c r="B45" s="17" t="s">
        <v>382</v>
      </c>
    </row>
    <row r="46" spans="1:5" ht="15" x14ac:dyDescent="0.2">
      <c r="A46" s="18" t="s">
        <v>34</v>
      </c>
      <c r="B46" s="18" t="s">
        <v>35</v>
      </c>
      <c r="C46" s="18" t="s">
        <v>36</v>
      </c>
      <c r="D46" s="18" t="s">
        <v>38</v>
      </c>
      <c r="E46" s="18" t="s">
        <v>39</v>
      </c>
    </row>
    <row r="47" spans="1:5" x14ac:dyDescent="0.2">
      <c r="A47" s="15" t="s">
        <v>348</v>
      </c>
      <c r="B47" s="4" t="s">
        <v>383</v>
      </c>
      <c r="C47" s="4" t="s">
        <v>175</v>
      </c>
      <c r="D47" s="4" t="s">
        <v>357</v>
      </c>
      <c r="E47" s="7" t="s">
        <v>384</v>
      </c>
    </row>
    <row r="49" spans="1:5" ht="14.25" x14ac:dyDescent="0.2">
      <c r="A49" s="16"/>
      <c r="B49" s="17" t="s">
        <v>169</v>
      </c>
    </row>
    <row r="50" spans="1:5" ht="15" x14ac:dyDescent="0.2">
      <c r="A50" s="18" t="s">
        <v>34</v>
      </c>
      <c r="B50" s="18" t="s">
        <v>35</v>
      </c>
      <c r="C50" s="18" t="s">
        <v>36</v>
      </c>
      <c r="D50" s="18" t="s">
        <v>38</v>
      </c>
      <c r="E50" s="18" t="s">
        <v>39</v>
      </c>
    </row>
    <row r="51" spans="1:5" x14ac:dyDescent="0.2">
      <c r="A51" s="15" t="s">
        <v>258</v>
      </c>
      <c r="B51" s="4" t="s">
        <v>169</v>
      </c>
      <c r="C51" s="4" t="s">
        <v>178</v>
      </c>
      <c r="D51" s="4" t="s">
        <v>375</v>
      </c>
      <c r="E51" s="7" t="s">
        <v>385</v>
      </c>
    </row>
    <row r="52" spans="1:5" x14ac:dyDescent="0.2">
      <c r="A52" s="15" t="s">
        <v>363</v>
      </c>
      <c r="B52" s="4" t="s">
        <v>169</v>
      </c>
      <c r="C52" s="4" t="s">
        <v>172</v>
      </c>
      <c r="D52" s="4" t="s">
        <v>356</v>
      </c>
      <c r="E52" s="7" t="s">
        <v>386</v>
      </c>
    </row>
    <row r="53" spans="1:5" x14ac:dyDescent="0.2">
      <c r="A53" s="15" t="s">
        <v>358</v>
      </c>
      <c r="B53" s="4" t="s">
        <v>169</v>
      </c>
      <c r="C53" s="4" t="s">
        <v>175</v>
      </c>
      <c r="D53" s="4" t="s">
        <v>362</v>
      </c>
      <c r="E53" s="7" t="s">
        <v>387</v>
      </c>
    </row>
    <row r="55" spans="1:5" ht="14.25" x14ac:dyDescent="0.2">
      <c r="A55" s="16"/>
      <c r="B55" s="17" t="s">
        <v>33</v>
      </c>
    </row>
    <row r="56" spans="1:5" ht="15" x14ac:dyDescent="0.2">
      <c r="A56" s="18" t="s">
        <v>34</v>
      </c>
      <c r="B56" s="18" t="s">
        <v>35</v>
      </c>
      <c r="C56" s="18" t="s">
        <v>36</v>
      </c>
      <c r="D56" s="18" t="s">
        <v>38</v>
      </c>
      <c r="E56" s="18" t="s">
        <v>39</v>
      </c>
    </row>
    <row r="57" spans="1:5" x14ac:dyDescent="0.2">
      <c r="A57" s="15" t="s">
        <v>371</v>
      </c>
      <c r="B57" s="4" t="s">
        <v>235</v>
      </c>
      <c r="C57" s="4" t="s">
        <v>172</v>
      </c>
      <c r="D57" s="4" t="s">
        <v>341</v>
      </c>
      <c r="E57" s="7" t="s">
        <v>388</v>
      </c>
    </row>
    <row r="58" spans="1:5" x14ac:dyDescent="0.2">
      <c r="A58" s="15" t="s">
        <v>367</v>
      </c>
      <c r="B58" s="4" t="s">
        <v>186</v>
      </c>
      <c r="C58" s="4" t="s">
        <v>172</v>
      </c>
      <c r="D58" s="4" t="s">
        <v>356</v>
      </c>
      <c r="E58" s="7" t="s">
        <v>389</v>
      </c>
    </row>
    <row r="59" spans="1:5" x14ac:dyDescent="0.2">
      <c r="A59" s="15" t="s">
        <v>95</v>
      </c>
      <c r="B59" s="4" t="s">
        <v>186</v>
      </c>
      <c r="C59" s="4" t="s">
        <v>170</v>
      </c>
      <c r="D59" s="4" t="s">
        <v>59</v>
      </c>
      <c r="E59" s="7" t="s">
        <v>390</v>
      </c>
    </row>
    <row r="64" spans="1:5" ht="18" x14ac:dyDescent="0.25">
      <c r="A64" s="8" t="s">
        <v>43</v>
      </c>
      <c r="B64" s="8"/>
    </row>
    <row r="65" spans="1:3" ht="15" x14ac:dyDescent="0.2">
      <c r="A65" s="18" t="s">
        <v>44</v>
      </c>
      <c r="B65" s="18" t="s">
        <v>45</v>
      </c>
      <c r="C65" s="18" t="s">
        <v>46</v>
      </c>
    </row>
    <row r="66" spans="1:3" x14ac:dyDescent="0.2">
      <c r="A66" s="4" t="s">
        <v>55</v>
      </c>
      <c r="B66" s="4" t="s">
        <v>391</v>
      </c>
      <c r="C66" s="4" t="s">
        <v>392</v>
      </c>
    </row>
    <row r="67" spans="1:3" x14ac:dyDescent="0.2">
      <c r="A67" s="4" t="s">
        <v>26</v>
      </c>
      <c r="B67" s="4" t="s">
        <v>237</v>
      </c>
      <c r="C67" s="4" t="s">
        <v>281</v>
      </c>
    </row>
    <row r="68" spans="1:3" x14ac:dyDescent="0.2">
      <c r="A68" s="4" t="s">
        <v>76</v>
      </c>
      <c r="B68" s="4" t="s">
        <v>47</v>
      </c>
      <c r="C68" s="4" t="s">
        <v>393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6:J16"/>
    <mergeCell ref="A20:J20"/>
    <mergeCell ref="A25:J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8" sqref="A8:J8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36.570312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25.7109375" style="4" bestFit="1" customWidth="1"/>
    <col min="14" max="16384" width="9.140625" style="3"/>
  </cols>
  <sheetData>
    <row r="1" spans="1:13" s="2" customFormat="1" ht="29.1" customHeight="1" x14ac:dyDescent="0.2">
      <c r="A1" s="42" t="s">
        <v>282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242</v>
      </c>
      <c r="H3" s="36"/>
      <c r="I3" s="36"/>
      <c r="J3" s="36"/>
      <c r="K3" s="36" t="s">
        <v>17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61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34" t="s">
        <v>506</v>
      </c>
      <c r="B6" s="34" t="s">
        <v>507</v>
      </c>
      <c r="C6" s="9" t="s">
        <v>284</v>
      </c>
      <c r="D6" s="9" t="str">
        <f>"0,7460"</f>
        <v>0,7460</v>
      </c>
      <c r="E6" s="9" t="s">
        <v>285</v>
      </c>
      <c r="F6" s="9" t="s">
        <v>56</v>
      </c>
      <c r="G6" s="11" t="s">
        <v>206</v>
      </c>
      <c r="H6" s="11" t="s">
        <v>286</v>
      </c>
      <c r="I6" s="11" t="s">
        <v>287</v>
      </c>
      <c r="J6" s="10"/>
      <c r="K6" s="12" t="str">
        <f>"220,0"</f>
        <v>220,0</v>
      </c>
      <c r="L6" s="13" t="str">
        <f>"164,1200"</f>
        <v>164,1200</v>
      </c>
      <c r="M6" s="9" t="s">
        <v>31</v>
      </c>
    </row>
    <row r="8" spans="1:13" ht="15" x14ac:dyDescent="0.2">
      <c r="A8" s="35" t="s">
        <v>117</v>
      </c>
      <c r="B8" s="35"/>
      <c r="C8" s="35"/>
      <c r="D8" s="35"/>
      <c r="E8" s="35"/>
      <c r="F8" s="35"/>
      <c r="G8" s="35"/>
      <c r="H8" s="35"/>
      <c r="I8" s="35"/>
      <c r="J8" s="35"/>
    </row>
    <row r="9" spans="1:13" x14ac:dyDescent="0.2">
      <c r="A9" s="19" t="s">
        <v>289</v>
      </c>
      <c r="B9" s="19" t="s">
        <v>290</v>
      </c>
      <c r="C9" s="19" t="s">
        <v>291</v>
      </c>
      <c r="D9" s="19" t="str">
        <f>"0,5935"</f>
        <v>0,5935</v>
      </c>
      <c r="E9" s="19" t="s">
        <v>292</v>
      </c>
      <c r="F9" s="19" t="s">
        <v>56</v>
      </c>
      <c r="G9" s="21" t="s">
        <v>229</v>
      </c>
      <c r="H9" s="21" t="s">
        <v>293</v>
      </c>
      <c r="I9" s="20" t="s">
        <v>294</v>
      </c>
      <c r="J9" s="20"/>
      <c r="K9" s="28" t="str">
        <f>"215,0"</f>
        <v>215,0</v>
      </c>
      <c r="L9" s="29" t="str">
        <f>"127,6025"</f>
        <v>127,6025</v>
      </c>
      <c r="M9" s="19" t="s">
        <v>31</v>
      </c>
    </row>
    <row r="10" spans="1:13" x14ac:dyDescent="0.2">
      <c r="A10" s="25" t="s">
        <v>296</v>
      </c>
      <c r="B10" s="25" t="s">
        <v>297</v>
      </c>
      <c r="C10" s="25" t="s">
        <v>298</v>
      </c>
      <c r="D10" s="25" t="str">
        <f>"0,6031"</f>
        <v>0,6031</v>
      </c>
      <c r="E10" s="25" t="s">
        <v>55</v>
      </c>
      <c r="F10" s="25" t="s">
        <v>56</v>
      </c>
      <c r="G10" s="27" t="s">
        <v>79</v>
      </c>
      <c r="H10" s="27" t="s">
        <v>211</v>
      </c>
      <c r="I10" s="26" t="s">
        <v>229</v>
      </c>
      <c r="J10" s="26"/>
      <c r="K10" s="32" t="str">
        <f>"180,0"</f>
        <v>180,0</v>
      </c>
      <c r="L10" s="33" t="str">
        <f>"108,5580"</f>
        <v>108,5580</v>
      </c>
      <c r="M10" s="25" t="s">
        <v>60</v>
      </c>
    </row>
    <row r="12" spans="1:13" ht="15" x14ac:dyDescent="0.2">
      <c r="A12" s="35" t="s">
        <v>134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3" x14ac:dyDescent="0.2">
      <c r="A13" s="19" t="s">
        <v>300</v>
      </c>
      <c r="B13" s="19" t="s">
        <v>301</v>
      </c>
      <c r="C13" s="19" t="s">
        <v>302</v>
      </c>
      <c r="D13" s="19" t="str">
        <f>"0,5583"</f>
        <v>0,5583</v>
      </c>
      <c r="E13" s="19" t="s">
        <v>26</v>
      </c>
      <c r="F13" s="19" t="s">
        <v>27</v>
      </c>
      <c r="G13" s="21" t="s">
        <v>303</v>
      </c>
      <c r="H13" s="20" t="s">
        <v>270</v>
      </c>
      <c r="I13" s="21" t="s">
        <v>270</v>
      </c>
      <c r="J13" s="20"/>
      <c r="K13" s="28" t="str">
        <f>"250,0"</f>
        <v>250,0</v>
      </c>
      <c r="L13" s="29" t="str">
        <f>"139,5750"</f>
        <v>139,5750</v>
      </c>
      <c r="M13" s="19" t="s">
        <v>31</v>
      </c>
    </row>
    <row r="14" spans="1:13" x14ac:dyDescent="0.2">
      <c r="A14" s="25" t="s">
        <v>305</v>
      </c>
      <c r="B14" s="25" t="s">
        <v>306</v>
      </c>
      <c r="C14" s="25" t="s">
        <v>307</v>
      </c>
      <c r="D14" s="25" t="str">
        <f>"0,5630"</f>
        <v>0,5630</v>
      </c>
      <c r="E14" s="25" t="s">
        <v>55</v>
      </c>
      <c r="F14" s="25" t="s">
        <v>56</v>
      </c>
      <c r="G14" s="27" t="s">
        <v>116</v>
      </c>
      <c r="H14" s="27" t="s">
        <v>85</v>
      </c>
      <c r="I14" s="27" t="s">
        <v>133</v>
      </c>
      <c r="J14" s="26"/>
      <c r="K14" s="32" t="str">
        <f>"140,0"</f>
        <v>140,0</v>
      </c>
      <c r="L14" s="33" t="str">
        <f>"78,8200"</f>
        <v>78,8200</v>
      </c>
      <c r="M14" s="25" t="s">
        <v>60</v>
      </c>
    </row>
    <row r="16" spans="1:13" ht="15" x14ac:dyDescent="0.2">
      <c r="A16" s="35" t="s">
        <v>151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3" x14ac:dyDescent="0.2">
      <c r="A17" s="9" t="s">
        <v>309</v>
      </c>
      <c r="B17" s="9" t="s">
        <v>310</v>
      </c>
      <c r="C17" s="9" t="s">
        <v>311</v>
      </c>
      <c r="D17" s="9" t="str">
        <f>"0,5479"</f>
        <v>0,5479</v>
      </c>
      <c r="E17" s="9" t="s">
        <v>228</v>
      </c>
      <c r="F17" s="9" t="s">
        <v>56</v>
      </c>
      <c r="G17" s="10" t="s">
        <v>229</v>
      </c>
      <c r="H17" s="11" t="s">
        <v>293</v>
      </c>
      <c r="I17" s="11" t="s">
        <v>262</v>
      </c>
      <c r="J17" s="10"/>
      <c r="K17" s="12" t="str">
        <f>"230,0"</f>
        <v>230,0</v>
      </c>
      <c r="L17" s="13" t="str">
        <f>"126,0170"</f>
        <v>126,0170</v>
      </c>
      <c r="M17" s="9" t="s">
        <v>312</v>
      </c>
    </row>
    <row r="19" spans="1:13" ht="15" x14ac:dyDescent="0.2">
      <c r="A19" s="35" t="s">
        <v>21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3" x14ac:dyDescent="0.2">
      <c r="A20" s="9" t="s">
        <v>23</v>
      </c>
      <c r="B20" s="9" t="s">
        <v>313</v>
      </c>
      <c r="C20" s="9" t="s">
        <v>25</v>
      </c>
      <c r="D20" s="9" t="str">
        <f>"0,5243"</f>
        <v>0,5243</v>
      </c>
      <c r="E20" s="9" t="s">
        <v>26</v>
      </c>
      <c r="F20" s="9" t="s">
        <v>27</v>
      </c>
      <c r="G20" s="11" t="s">
        <v>314</v>
      </c>
      <c r="H20" s="11" t="s">
        <v>315</v>
      </c>
      <c r="I20" s="10"/>
      <c r="J20" s="10"/>
      <c r="K20" s="12" t="str">
        <f>"280,0"</f>
        <v>280,0</v>
      </c>
      <c r="L20" s="13" t="str">
        <f>"146,8040"</f>
        <v>146,8040</v>
      </c>
      <c r="M20" s="9" t="s">
        <v>31</v>
      </c>
    </row>
    <row r="22" spans="1:13" ht="15" x14ac:dyDescent="0.2">
      <c r="E22" s="6" t="s">
        <v>11</v>
      </c>
    </row>
    <row r="23" spans="1:13" ht="15" x14ac:dyDescent="0.2">
      <c r="E23" s="6" t="s">
        <v>12</v>
      </c>
    </row>
    <row r="24" spans="1:13" ht="15" x14ac:dyDescent="0.2">
      <c r="E24" s="6" t="s">
        <v>13</v>
      </c>
    </row>
    <row r="25" spans="1:13" ht="15" x14ac:dyDescent="0.2">
      <c r="E25" s="6" t="s">
        <v>14</v>
      </c>
    </row>
    <row r="26" spans="1:13" ht="15" x14ac:dyDescent="0.2">
      <c r="E26" s="6" t="s">
        <v>14</v>
      </c>
    </row>
    <row r="27" spans="1:13" ht="15" x14ac:dyDescent="0.2">
      <c r="E27" s="6" t="s">
        <v>15</v>
      </c>
    </row>
    <row r="28" spans="1:13" ht="15" x14ac:dyDescent="0.2">
      <c r="E28" s="6"/>
    </row>
    <row r="30" spans="1:13" ht="18" x14ac:dyDescent="0.25">
      <c r="A30" s="8" t="s">
        <v>16</v>
      </c>
      <c r="B30" s="8"/>
    </row>
    <row r="31" spans="1:13" ht="15" x14ac:dyDescent="0.2">
      <c r="A31" s="14" t="s">
        <v>32</v>
      </c>
      <c r="B31" s="14"/>
    </row>
    <row r="32" spans="1:13" ht="14.25" x14ac:dyDescent="0.2">
      <c r="A32" s="16"/>
      <c r="B32" s="17" t="s">
        <v>169</v>
      </c>
    </row>
    <row r="33" spans="1:5" ht="15" x14ac:dyDescent="0.2">
      <c r="A33" s="18" t="s">
        <v>34</v>
      </c>
      <c r="B33" s="18" t="s">
        <v>35</v>
      </c>
      <c r="C33" s="18" t="s">
        <v>36</v>
      </c>
      <c r="D33" s="18" t="s">
        <v>38</v>
      </c>
      <c r="E33" s="18" t="s">
        <v>39</v>
      </c>
    </row>
    <row r="34" spans="1:5" x14ac:dyDescent="0.2">
      <c r="A34" s="15" t="s">
        <v>283</v>
      </c>
      <c r="B34" s="4" t="s">
        <v>169</v>
      </c>
      <c r="C34" s="4" t="s">
        <v>181</v>
      </c>
      <c r="D34" s="4" t="s">
        <v>287</v>
      </c>
      <c r="E34" s="7" t="s">
        <v>316</v>
      </c>
    </row>
    <row r="35" spans="1:5" x14ac:dyDescent="0.2">
      <c r="A35" s="15" t="s">
        <v>22</v>
      </c>
      <c r="B35" s="4" t="s">
        <v>169</v>
      </c>
      <c r="C35" s="4" t="s">
        <v>41</v>
      </c>
      <c r="D35" s="4" t="s">
        <v>315</v>
      </c>
      <c r="E35" s="7" t="s">
        <v>317</v>
      </c>
    </row>
    <row r="36" spans="1:5" x14ac:dyDescent="0.2">
      <c r="A36" s="15" t="s">
        <v>299</v>
      </c>
      <c r="B36" s="4" t="s">
        <v>169</v>
      </c>
      <c r="C36" s="4" t="s">
        <v>178</v>
      </c>
      <c r="D36" s="4" t="s">
        <v>270</v>
      </c>
      <c r="E36" s="7" t="s">
        <v>318</v>
      </c>
    </row>
    <row r="37" spans="1:5" x14ac:dyDescent="0.2">
      <c r="A37" s="15" t="s">
        <v>288</v>
      </c>
      <c r="B37" s="4" t="s">
        <v>169</v>
      </c>
      <c r="C37" s="4" t="s">
        <v>172</v>
      </c>
      <c r="D37" s="4" t="s">
        <v>293</v>
      </c>
      <c r="E37" s="7" t="s">
        <v>319</v>
      </c>
    </row>
    <row r="38" spans="1:5" x14ac:dyDescent="0.2">
      <c r="A38" s="15" t="s">
        <v>308</v>
      </c>
      <c r="B38" s="4" t="s">
        <v>169</v>
      </c>
      <c r="C38" s="4" t="s">
        <v>164</v>
      </c>
      <c r="D38" s="4" t="s">
        <v>262</v>
      </c>
      <c r="E38" s="7" t="s">
        <v>320</v>
      </c>
    </row>
    <row r="39" spans="1:5" x14ac:dyDescent="0.2">
      <c r="A39" s="15" t="s">
        <v>295</v>
      </c>
      <c r="B39" s="4" t="s">
        <v>169</v>
      </c>
      <c r="C39" s="4" t="s">
        <v>172</v>
      </c>
      <c r="D39" s="4" t="s">
        <v>211</v>
      </c>
      <c r="E39" s="7" t="s">
        <v>321</v>
      </c>
    </row>
    <row r="40" spans="1:5" x14ac:dyDescent="0.2">
      <c r="A40" s="15" t="s">
        <v>304</v>
      </c>
      <c r="B40" s="4" t="s">
        <v>169</v>
      </c>
      <c r="C40" s="4" t="s">
        <v>178</v>
      </c>
      <c r="D40" s="4" t="s">
        <v>133</v>
      </c>
      <c r="E40" s="7" t="s">
        <v>322</v>
      </c>
    </row>
    <row r="45" spans="1:5" ht="18" x14ac:dyDescent="0.25">
      <c r="A45" s="8" t="s">
        <v>43</v>
      </c>
      <c r="B45" s="8"/>
    </row>
    <row r="46" spans="1:5" ht="15" x14ac:dyDescent="0.2">
      <c r="A46" s="18" t="s">
        <v>44</v>
      </c>
      <c r="B46" s="18" t="s">
        <v>45</v>
      </c>
      <c r="C46" s="18" t="s">
        <v>46</v>
      </c>
    </row>
    <row r="47" spans="1:5" x14ac:dyDescent="0.2">
      <c r="A47" s="4" t="s">
        <v>26</v>
      </c>
      <c r="B47" s="4" t="s">
        <v>237</v>
      </c>
      <c r="C47" s="4" t="s">
        <v>323</v>
      </c>
    </row>
    <row r="48" spans="1:5" x14ac:dyDescent="0.2">
      <c r="A48" s="4" t="s">
        <v>55</v>
      </c>
      <c r="B48" s="4" t="s">
        <v>196</v>
      </c>
      <c r="C48" s="4" t="s">
        <v>324</v>
      </c>
    </row>
    <row r="49" spans="1:3" x14ac:dyDescent="0.2">
      <c r="A49" s="4" t="s">
        <v>285</v>
      </c>
      <c r="B49" s="4" t="s">
        <v>47</v>
      </c>
      <c r="C49" s="4" t="s">
        <v>325</v>
      </c>
    </row>
    <row r="50" spans="1:3" x14ac:dyDescent="0.2">
      <c r="A50" s="4" t="s">
        <v>292</v>
      </c>
      <c r="B50" s="4" t="s">
        <v>47</v>
      </c>
      <c r="C50" s="4" t="s">
        <v>326</v>
      </c>
    </row>
    <row r="51" spans="1:3" x14ac:dyDescent="0.2">
      <c r="A51" s="4" t="s">
        <v>228</v>
      </c>
      <c r="B51" s="4" t="s">
        <v>47</v>
      </c>
      <c r="C51" s="4" t="s">
        <v>327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6:J16"/>
    <mergeCell ref="A19:J19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55.8554687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14.7109375" style="4" bestFit="1" customWidth="1"/>
    <col min="14" max="16384" width="9.140625" style="3"/>
  </cols>
  <sheetData>
    <row r="1" spans="1:13" s="2" customFormat="1" ht="29.1" customHeight="1" x14ac:dyDescent="0.2">
      <c r="A1" s="42" t="s">
        <v>241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242</v>
      </c>
      <c r="H3" s="36"/>
      <c r="I3" s="36"/>
      <c r="J3" s="36"/>
      <c r="K3" s="36" t="s">
        <v>17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61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244</v>
      </c>
      <c r="B6" s="9" t="s">
        <v>245</v>
      </c>
      <c r="C6" s="9" t="s">
        <v>246</v>
      </c>
      <c r="D6" s="9" t="str">
        <f>"0,7418"</f>
        <v>0,7418</v>
      </c>
      <c r="E6" s="9" t="s">
        <v>84</v>
      </c>
      <c r="F6" s="9" t="s">
        <v>56</v>
      </c>
      <c r="G6" s="10" t="s">
        <v>133</v>
      </c>
      <c r="H6" s="11" t="s">
        <v>133</v>
      </c>
      <c r="I6" s="10" t="s">
        <v>28</v>
      </c>
      <c r="J6" s="10"/>
      <c r="K6" s="12" t="str">
        <f>"140,0"</f>
        <v>140,0</v>
      </c>
      <c r="L6" s="13" t="str">
        <f>"103,8520"</f>
        <v>103,8520</v>
      </c>
      <c r="M6" s="9" t="s">
        <v>31</v>
      </c>
    </row>
    <row r="8" spans="1:13" ht="15" x14ac:dyDescent="0.2">
      <c r="A8" s="35" t="s">
        <v>71</v>
      </c>
      <c r="B8" s="35"/>
      <c r="C8" s="35"/>
      <c r="D8" s="35"/>
      <c r="E8" s="35"/>
      <c r="F8" s="35"/>
      <c r="G8" s="35"/>
      <c r="H8" s="35"/>
      <c r="I8" s="35"/>
      <c r="J8" s="35"/>
    </row>
    <row r="9" spans="1:13" x14ac:dyDescent="0.2">
      <c r="A9" s="19" t="s">
        <v>248</v>
      </c>
      <c r="B9" s="19" t="s">
        <v>249</v>
      </c>
      <c r="C9" s="19" t="s">
        <v>250</v>
      </c>
      <c r="D9" s="19" t="str">
        <f>"0,6782"</f>
        <v>0,6782</v>
      </c>
      <c r="E9" s="19" t="s">
        <v>26</v>
      </c>
      <c r="F9" s="19" t="s">
        <v>56</v>
      </c>
      <c r="G9" s="21" t="s">
        <v>28</v>
      </c>
      <c r="H9" s="21" t="s">
        <v>79</v>
      </c>
      <c r="I9" s="20" t="s">
        <v>211</v>
      </c>
      <c r="J9" s="20"/>
      <c r="K9" s="28" t="str">
        <f>"170,0"</f>
        <v>170,0</v>
      </c>
      <c r="L9" s="29" t="str">
        <f>"124,5175"</f>
        <v>124,5175</v>
      </c>
      <c r="M9" s="19" t="s">
        <v>48</v>
      </c>
    </row>
    <row r="10" spans="1:13" x14ac:dyDescent="0.2">
      <c r="A10" s="25" t="s">
        <v>251</v>
      </c>
      <c r="B10" s="25" t="s">
        <v>97</v>
      </c>
      <c r="C10" s="25" t="s">
        <v>98</v>
      </c>
      <c r="D10" s="25" t="str">
        <f>"0,6767"</f>
        <v>0,6767</v>
      </c>
      <c r="E10" s="25" t="s">
        <v>26</v>
      </c>
      <c r="F10" s="25" t="s">
        <v>27</v>
      </c>
      <c r="G10" s="27" t="s">
        <v>79</v>
      </c>
      <c r="H10" s="27" t="s">
        <v>205</v>
      </c>
      <c r="I10" s="27" t="s">
        <v>212</v>
      </c>
      <c r="J10" s="26"/>
      <c r="K10" s="32" t="str">
        <f>"195,0"</f>
        <v>195,0</v>
      </c>
      <c r="L10" s="33" t="str">
        <f>"132,3524"</f>
        <v>132,3524</v>
      </c>
      <c r="M10" s="25" t="s">
        <v>31</v>
      </c>
    </row>
    <row r="12" spans="1:13" ht="15" x14ac:dyDescent="0.2">
      <c r="A12" s="35" t="s">
        <v>99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3" x14ac:dyDescent="0.2">
      <c r="A13" s="9" t="s">
        <v>253</v>
      </c>
      <c r="B13" s="9" t="s">
        <v>254</v>
      </c>
      <c r="C13" s="9" t="s">
        <v>255</v>
      </c>
      <c r="D13" s="9" t="str">
        <f>"0,6209"</f>
        <v>0,6209</v>
      </c>
      <c r="E13" s="9" t="s">
        <v>55</v>
      </c>
      <c r="F13" s="9" t="s">
        <v>143</v>
      </c>
      <c r="G13" s="11" t="s">
        <v>256</v>
      </c>
      <c r="H13" s="10" t="s">
        <v>257</v>
      </c>
      <c r="I13" s="10" t="s">
        <v>257</v>
      </c>
      <c r="J13" s="10"/>
      <c r="K13" s="12" t="str">
        <f>"182,5"</f>
        <v>182,5</v>
      </c>
      <c r="L13" s="13" t="str">
        <f>"113,3142"</f>
        <v>113,3142</v>
      </c>
      <c r="M13" s="9" t="s">
        <v>31</v>
      </c>
    </row>
    <row r="15" spans="1:13" ht="15" x14ac:dyDescent="0.2">
      <c r="A15" s="35" t="s">
        <v>134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3" x14ac:dyDescent="0.2">
      <c r="A16" s="19" t="s">
        <v>259</v>
      </c>
      <c r="B16" s="19" t="s">
        <v>260</v>
      </c>
      <c r="C16" s="19" t="s">
        <v>261</v>
      </c>
      <c r="D16" s="19" t="str">
        <f>"0,5550"</f>
        <v>0,5550</v>
      </c>
      <c r="E16" s="19" t="s">
        <v>55</v>
      </c>
      <c r="F16" s="19" t="s">
        <v>56</v>
      </c>
      <c r="G16" s="21" t="s">
        <v>262</v>
      </c>
      <c r="H16" s="21" t="s">
        <v>263</v>
      </c>
      <c r="I16" s="21" t="s">
        <v>264</v>
      </c>
      <c r="J16" s="20"/>
      <c r="K16" s="28" t="str">
        <f>"252,5"</f>
        <v>252,5</v>
      </c>
      <c r="L16" s="29" t="str">
        <f>"140,1375"</f>
        <v>140,1375</v>
      </c>
      <c r="M16" s="19" t="s">
        <v>31</v>
      </c>
    </row>
    <row r="17" spans="1:13" x14ac:dyDescent="0.2">
      <c r="A17" s="25" t="s">
        <v>259</v>
      </c>
      <c r="B17" s="25" t="s">
        <v>265</v>
      </c>
      <c r="C17" s="25" t="s">
        <v>261</v>
      </c>
      <c r="D17" s="25" t="str">
        <f>"0,5550"</f>
        <v>0,5550</v>
      </c>
      <c r="E17" s="25" t="s">
        <v>55</v>
      </c>
      <c r="F17" s="25" t="s">
        <v>56</v>
      </c>
      <c r="G17" s="27" t="s">
        <v>262</v>
      </c>
      <c r="H17" s="27" t="s">
        <v>263</v>
      </c>
      <c r="I17" s="27" t="s">
        <v>264</v>
      </c>
      <c r="J17" s="26"/>
      <c r="K17" s="32" t="str">
        <f>"252,5"</f>
        <v>252,5</v>
      </c>
      <c r="L17" s="33" t="str">
        <f>"141,3987"</f>
        <v>141,3987</v>
      </c>
      <c r="M17" s="25" t="s">
        <v>31</v>
      </c>
    </row>
    <row r="19" spans="1:13" ht="15" x14ac:dyDescent="0.2">
      <c r="A19" s="35" t="s">
        <v>223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3" x14ac:dyDescent="0.2">
      <c r="A20" s="9" t="s">
        <v>267</v>
      </c>
      <c r="B20" s="9" t="s">
        <v>268</v>
      </c>
      <c r="C20" s="9" t="s">
        <v>269</v>
      </c>
      <c r="D20" s="9" t="str">
        <f>"0,5096"</f>
        <v>0,5096</v>
      </c>
      <c r="E20" s="9" t="s">
        <v>84</v>
      </c>
      <c r="F20" s="9" t="s">
        <v>56</v>
      </c>
      <c r="G20" s="11" t="s">
        <v>262</v>
      </c>
      <c r="H20" s="11" t="s">
        <v>270</v>
      </c>
      <c r="I20" s="10"/>
      <c r="J20" s="10"/>
      <c r="K20" s="12" t="str">
        <f>"250,0"</f>
        <v>250,0</v>
      </c>
      <c r="L20" s="13" t="str">
        <f>"133,5152"</f>
        <v>133,5152</v>
      </c>
      <c r="M20" s="9" t="s">
        <v>271</v>
      </c>
    </row>
    <row r="22" spans="1:13" ht="15" x14ac:dyDescent="0.2">
      <c r="E22" s="6" t="s">
        <v>11</v>
      </c>
    </row>
    <row r="23" spans="1:13" ht="15" x14ac:dyDescent="0.2">
      <c r="E23" s="6" t="s">
        <v>12</v>
      </c>
    </row>
    <row r="24" spans="1:13" ht="15" x14ac:dyDescent="0.2">
      <c r="E24" s="6" t="s">
        <v>13</v>
      </c>
    </row>
    <row r="25" spans="1:13" ht="15" x14ac:dyDescent="0.2">
      <c r="E25" s="6" t="s">
        <v>14</v>
      </c>
    </row>
    <row r="26" spans="1:13" ht="15" x14ac:dyDescent="0.2">
      <c r="E26" s="6" t="s">
        <v>14</v>
      </c>
    </row>
    <row r="27" spans="1:13" ht="15" x14ac:dyDescent="0.2">
      <c r="E27" s="6" t="s">
        <v>15</v>
      </c>
    </row>
    <row r="28" spans="1:13" ht="15" x14ac:dyDescent="0.2">
      <c r="E28" s="6"/>
    </row>
    <row r="30" spans="1:13" ht="18" x14ac:dyDescent="0.25">
      <c r="A30" s="8" t="s">
        <v>16</v>
      </c>
      <c r="B30" s="8"/>
    </row>
    <row r="31" spans="1:13" ht="15" x14ac:dyDescent="0.2">
      <c r="A31" s="14" t="s">
        <v>32</v>
      </c>
      <c r="B31" s="14"/>
    </row>
    <row r="32" spans="1:13" ht="14.25" x14ac:dyDescent="0.2">
      <c r="A32" s="16"/>
      <c r="B32" s="17" t="s">
        <v>162</v>
      </c>
    </row>
    <row r="33" spans="1:5" ht="15" x14ac:dyDescent="0.2">
      <c r="A33" s="18" t="s">
        <v>34</v>
      </c>
      <c r="B33" s="18" t="s">
        <v>35</v>
      </c>
      <c r="C33" s="18" t="s">
        <v>36</v>
      </c>
      <c r="D33" s="18" t="s">
        <v>38</v>
      </c>
      <c r="E33" s="18" t="s">
        <v>39</v>
      </c>
    </row>
    <row r="34" spans="1:5" x14ac:dyDescent="0.2">
      <c r="A34" s="15" t="s">
        <v>247</v>
      </c>
      <c r="B34" s="4" t="s">
        <v>163</v>
      </c>
      <c r="C34" s="4" t="s">
        <v>170</v>
      </c>
      <c r="D34" s="4" t="s">
        <v>79</v>
      </c>
      <c r="E34" s="7" t="s">
        <v>272</v>
      </c>
    </row>
    <row r="36" spans="1:5" ht="14.25" x14ac:dyDescent="0.2">
      <c r="A36" s="16"/>
      <c r="B36" s="17" t="s">
        <v>169</v>
      </c>
    </row>
    <row r="37" spans="1:5" ht="15" x14ac:dyDescent="0.2">
      <c r="A37" s="18" t="s">
        <v>34</v>
      </c>
      <c r="B37" s="18" t="s">
        <v>35</v>
      </c>
      <c r="C37" s="18" t="s">
        <v>36</v>
      </c>
      <c r="D37" s="18" t="s">
        <v>38</v>
      </c>
      <c r="E37" s="18" t="s">
        <v>39</v>
      </c>
    </row>
    <row r="38" spans="1:5" x14ac:dyDescent="0.2">
      <c r="A38" s="15" t="s">
        <v>258</v>
      </c>
      <c r="B38" s="4" t="s">
        <v>169</v>
      </c>
      <c r="C38" s="4" t="s">
        <v>178</v>
      </c>
      <c r="D38" s="4" t="s">
        <v>264</v>
      </c>
      <c r="E38" s="7" t="s">
        <v>273</v>
      </c>
    </row>
    <row r="39" spans="1:5" x14ac:dyDescent="0.2">
      <c r="A39" s="15" t="s">
        <v>252</v>
      </c>
      <c r="B39" s="4" t="s">
        <v>169</v>
      </c>
      <c r="C39" s="4" t="s">
        <v>175</v>
      </c>
      <c r="D39" s="4" t="s">
        <v>256</v>
      </c>
      <c r="E39" s="7" t="s">
        <v>274</v>
      </c>
    </row>
    <row r="40" spans="1:5" x14ac:dyDescent="0.2">
      <c r="A40" s="15" t="s">
        <v>243</v>
      </c>
      <c r="B40" s="4" t="s">
        <v>169</v>
      </c>
      <c r="C40" s="4" t="s">
        <v>181</v>
      </c>
      <c r="D40" s="4" t="s">
        <v>133</v>
      </c>
      <c r="E40" s="7" t="s">
        <v>275</v>
      </c>
    </row>
    <row r="42" spans="1:5" ht="14.25" x14ac:dyDescent="0.2">
      <c r="A42" s="16"/>
      <c r="B42" s="17" t="s">
        <v>33</v>
      </c>
    </row>
    <row r="43" spans="1:5" ht="15" x14ac:dyDescent="0.2">
      <c r="A43" s="18" t="s">
        <v>34</v>
      </c>
      <c r="B43" s="18" t="s">
        <v>35</v>
      </c>
      <c r="C43" s="18" t="s">
        <v>36</v>
      </c>
      <c r="D43" s="18" t="s">
        <v>38</v>
      </c>
      <c r="E43" s="18" t="s">
        <v>39</v>
      </c>
    </row>
    <row r="44" spans="1:5" x14ac:dyDescent="0.2">
      <c r="A44" s="15" t="s">
        <v>258</v>
      </c>
      <c r="B44" s="4" t="s">
        <v>186</v>
      </c>
      <c r="C44" s="4" t="s">
        <v>178</v>
      </c>
      <c r="D44" s="4" t="s">
        <v>264</v>
      </c>
      <c r="E44" s="7" t="s">
        <v>276</v>
      </c>
    </row>
    <row r="45" spans="1:5" x14ac:dyDescent="0.2">
      <c r="A45" s="15" t="s">
        <v>266</v>
      </c>
      <c r="B45" s="4" t="s">
        <v>40</v>
      </c>
      <c r="C45" s="4" t="s">
        <v>233</v>
      </c>
      <c r="D45" s="4" t="s">
        <v>270</v>
      </c>
      <c r="E45" s="7" t="s">
        <v>277</v>
      </c>
    </row>
    <row r="46" spans="1:5" x14ac:dyDescent="0.2">
      <c r="A46" s="15" t="s">
        <v>95</v>
      </c>
      <c r="B46" s="4" t="s">
        <v>186</v>
      </c>
      <c r="C46" s="4" t="s">
        <v>170</v>
      </c>
      <c r="D46" s="4" t="s">
        <v>212</v>
      </c>
      <c r="E46" s="7" t="s">
        <v>278</v>
      </c>
    </row>
    <row r="51" spans="1:3" ht="18" x14ac:dyDescent="0.25">
      <c r="A51" s="8" t="s">
        <v>43</v>
      </c>
      <c r="B51" s="8"/>
    </row>
    <row r="52" spans="1:3" ht="15" x14ac:dyDescent="0.2">
      <c r="A52" s="18" t="s">
        <v>44</v>
      </c>
      <c r="B52" s="18" t="s">
        <v>45</v>
      </c>
      <c r="C52" s="18" t="s">
        <v>46</v>
      </c>
    </row>
    <row r="53" spans="1:3" x14ac:dyDescent="0.2">
      <c r="A53" s="4" t="s">
        <v>55</v>
      </c>
      <c r="B53" s="4" t="s">
        <v>279</v>
      </c>
      <c r="C53" s="4" t="s">
        <v>280</v>
      </c>
    </row>
    <row r="54" spans="1:3" x14ac:dyDescent="0.2">
      <c r="A54" s="4" t="s">
        <v>26</v>
      </c>
      <c r="B54" s="4" t="s">
        <v>237</v>
      </c>
      <c r="C54" s="4" t="s">
        <v>281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5:J15"/>
    <mergeCell ref="A19:J19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31.14062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20.140625" style="4" bestFit="1" customWidth="1"/>
    <col min="14" max="16384" width="9.140625" style="3"/>
  </cols>
  <sheetData>
    <row r="1" spans="1:13" s="2" customFormat="1" ht="29.1" customHeight="1" x14ac:dyDescent="0.2">
      <c r="A1" s="42" t="s">
        <v>199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17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71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201</v>
      </c>
      <c r="B6" s="9" t="s">
        <v>202</v>
      </c>
      <c r="C6" s="9" t="s">
        <v>203</v>
      </c>
      <c r="D6" s="9" t="str">
        <f>"0,6645"</f>
        <v>0,6645</v>
      </c>
      <c r="E6" s="9" t="s">
        <v>66</v>
      </c>
      <c r="F6" s="9" t="s">
        <v>56</v>
      </c>
      <c r="G6" s="11" t="s">
        <v>204</v>
      </c>
      <c r="H6" s="11" t="s">
        <v>205</v>
      </c>
      <c r="I6" s="11" t="s">
        <v>206</v>
      </c>
      <c r="J6" s="10"/>
      <c r="K6" s="12" t="str">
        <f>"190,0"</f>
        <v>190,0</v>
      </c>
      <c r="L6" s="13" t="str">
        <f>"126,6338"</f>
        <v>126,6338</v>
      </c>
      <c r="M6" s="9" t="s">
        <v>31</v>
      </c>
    </row>
    <row r="8" spans="1:13" ht="15" x14ac:dyDescent="0.2">
      <c r="A8" s="35" t="s">
        <v>99</v>
      </c>
      <c r="B8" s="35"/>
      <c r="C8" s="35"/>
      <c r="D8" s="35"/>
      <c r="E8" s="35"/>
      <c r="F8" s="35"/>
      <c r="G8" s="35"/>
      <c r="H8" s="35"/>
      <c r="I8" s="35"/>
      <c r="J8" s="35"/>
    </row>
    <row r="9" spans="1:13" x14ac:dyDescent="0.2">
      <c r="A9" s="9" t="s">
        <v>208</v>
      </c>
      <c r="B9" s="9" t="s">
        <v>209</v>
      </c>
      <c r="C9" s="9" t="s">
        <v>210</v>
      </c>
      <c r="D9" s="9" t="str">
        <f>"0,6329"</f>
        <v>0,6329</v>
      </c>
      <c r="E9" s="9" t="s">
        <v>84</v>
      </c>
      <c r="F9" s="9" t="s">
        <v>56</v>
      </c>
      <c r="G9" s="11" t="s">
        <v>211</v>
      </c>
      <c r="H9" s="11" t="s">
        <v>206</v>
      </c>
      <c r="I9" s="10" t="s">
        <v>212</v>
      </c>
      <c r="J9" s="10"/>
      <c r="K9" s="12" t="str">
        <f>"190,0"</f>
        <v>190,0</v>
      </c>
      <c r="L9" s="13" t="str">
        <f>"120,2510"</f>
        <v>120,2510</v>
      </c>
      <c r="M9" s="9" t="s">
        <v>31</v>
      </c>
    </row>
    <row r="11" spans="1:13" ht="15" x14ac:dyDescent="0.2">
      <c r="A11" s="35" t="s">
        <v>134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 x14ac:dyDescent="0.2">
      <c r="A12" s="9" t="s">
        <v>214</v>
      </c>
      <c r="B12" s="9" t="s">
        <v>215</v>
      </c>
      <c r="C12" s="9" t="s">
        <v>216</v>
      </c>
      <c r="D12" s="9" t="str">
        <f>"0,5624"</f>
        <v>0,5624</v>
      </c>
      <c r="E12" s="9" t="s">
        <v>104</v>
      </c>
      <c r="F12" s="9" t="s">
        <v>56</v>
      </c>
      <c r="G12" s="11" t="s">
        <v>79</v>
      </c>
      <c r="H12" s="10" t="s">
        <v>211</v>
      </c>
      <c r="I12" s="11" t="s">
        <v>205</v>
      </c>
      <c r="J12" s="10"/>
      <c r="K12" s="12" t="str">
        <f>"185,0"</f>
        <v>185,0</v>
      </c>
      <c r="L12" s="13" t="str">
        <f>"104,0440"</f>
        <v>104,0440</v>
      </c>
      <c r="M12" s="9" t="s">
        <v>31</v>
      </c>
    </row>
    <row r="14" spans="1:13" ht="15" x14ac:dyDescent="0.2">
      <c r="A14" s="35" t="s">
        <v>21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3" x14ac:dyDescent="0.2">
      <c r="A15" s="9" t="s">
        <v>218</v>
      </c>
      <c r="B15" s="9" t="s">
        <v>219</v>
      </c>
      <c r="C15" s="9" t="s">
        <v>220</v>
      </c>
      <c r="D15" s="9" t="str">
        <f>"0,5232"</f>
        <v>0,5232</v>
      </c>
      <c r="E15" s="9" t="s">
        <v>104</v>
      </c>
      <c r="F15" s="9" t="s">
        <v>56</v>
      </c>
      <c r="G15" s="11" t="s">
        <v>221</v>
      </c>
      <c r="H15" s="10"/>
      <c r="I15" s="10"/>
      <c r="J15" s="10"/>
      <c r="K15" s="12" t="str">
        <f>"80,0"</f>
        <v>80,0</v>
      </c>
      <c r="L15" s="13" t="str">
        <f>"68,8531"</f>
        <v>68,8531</v>
      </c>
      <c r="M15" s="9" t="s">
        <v>222</v>
      </c>
    </row>
    <row r="17" spans="1:13" ht="15" x14ac:dyDescent="0.2">
      <c r="A17" s="35" t="s">
        <v>223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3" x14ac:dyDescent="0.2">
      <c r="A18" s="9" t="s">
        <v>225</v>
      </c>
      <c r="B18" s="9" t="s">
        <v>226</v>
      </c>
      <c r="C18" s="9" t="s">
        <v>227</v>
      </c>
      <c r="D18" s="9" t="str">
        <f>"0,5122"</f>
        <v>0,5122</v>
      </c>
      <c r="E18" s="9" t="s">
        <v>228</v>
      </c>
      <c r="F18" s="9" t="s">
        <v>56</v>
      </c>
      <c r="G18" s="11" t="s">
        <v>211</v>
      </c>
      <c r="H18" s="11" t="s">
        <v>206</v>
      </c>
      <c r="I18" s="11" t="s">
        <v>229</v>
      </c>
      <c r="J18" s="10"/>
      <c r="K18" s="12" t="str">
        <f>"200,0"</f>
        <v>200,0</v>
      </c>
      <c r="L18" s="13" t="str">
        <f>"102,4480"</f>
        <v>102,4480</v>
      </c>
      <c r="M18" s="9" t="s">
        <v>31</v>
      </c>
    </row>
    <row r="20" spans="1:13" ht="15" x14ac:dyDescent="0.2">
      <c r="E20" s="6" t="s">
        <v>11</v>
      </c>
    </row>
    <row r="21" spans="1:13" ht="15" x14ac:dyDescent="0.2">
      <c r="E21" s="6" t="s">
        <v>12</v>
      </c>
    </row>
    <row r="22" spans="1:13" ht="15" x14ac:dyDescent="0.2">
      <c r="E22" s="6" t="s">
        <v>13</v>
      </c>
    </row>
    <row r="23" spans="1:13" ht="15" x14ac:dyDescent="0.2">
      <c r="E23" s="6" t="s">
        <v>14</v>
      </c>
    </row>
    <row r="24" spans="1:13" ht="15" x14ac:dyDescent="0.2">
      <c r="E24" s="6" t="s">
        <v>14</v>
      </c>
    </row>
    <row r="25" spans="1:13" ht="15" x14ac:dyDescent="0.2">
      <c r="E25" s="6" t="s">
        <v>15</v>
      </c>
    </row>
    <row r="26" spans="1:13" ht="15" x14ac:dyDescent="0.2">
      <c r="E26" s="6"/>
    </row>
    <row r="28" spans="1:13" ht="18" x14ac:dyDescent="0.25">
      <c r="A28" s="8" t="s">
        <v>16</v>
      </c>
      <c r="B28" s="8"/>
    </row>
    <row r="29" spans="1:13" ht="15" x14ac:dyDescent="0.2">
      <c r="A29" s="14" t="s">
        <v>32</v>
      </c>
      <c r="B29" s="14"/>
    </row>
    <row r="30" spans="1:13" ht="14.25" x14ac:dyDescent="0.2">
      <c r="A30" s="16"/>
      <c r="B30" s="17" t="s">
        <v>169</v>
      </c>
    </row>
    <row r="31" spans="1:13" ht="15" x14ac:dyDescent="0.2">
      <c r="A31" s="18" t="s">
        <v>34</v>
      </c>
      <c r="B31" s="18" t="s">
        <v>35</v>
      </c>
      <c r="C31" s="18" t="s">
        <v>36</v>
      </c>
      <c r="D31" s="18" t="s">
        <v>38</v>
      </c>
      <c r="E31" s="18" t="s">
        <v>39</v>
      </c>
    </row>
    <row r="32" spans="1:13" x14ac:dyDescent="0.2">
      <c r="A32" s="15" t="s">
        <v>207</v>
      </c>
      <c r="B32" s="4" t="s">
        <v>169</v>
      </c>
      <c r="C32" s="4" t="s">
        <v>175</v>
      </c>
      <c r="D32" s="4" t="s">
        <v>206</v>
      </c>
      <c r="E32" s="7" t="s">
        <v>230</v>
      </c>
    </row>
    <row r="33" spans="1:5" x14ac:dyDescent="0.2">
      <c r="A33" s="15" t="s">
        <v>213</v>
      </c>
      <c r="B33" s="4" t="s">
        <v>169</v>
      </c>
      <c r="C33" s="4" t="s">
        <v>178</v>
      </c>
      <c r="D33" s="4" t="s">
        <v>205</v>
      </c>
      <c r="E33" s="7" t="s">
        <v>231</v>
      </c>
    </row>
    <row r="35" spans="1:5" ht="14.25" x14ac:dyDescent="0.2">
      <c r="A35" s="16"/>
      <c r="B35" s="17" t="s">
        <v>33</v>
      </c>
    </row>
    <row r="36" spans="1:5" ht="15" x14ac:dyDescent="0.2">
      <c r="A36" s="18" t="s">
        <v>34</v>
      </c>
      <c r="B36" s="18" t="s">
        <v>35</v>
      </c>
      <c r="C36" s="18" t="s">
        <v>36</v>
      </c>
      <c r="D36" s="18" t="s">
        <v>38</v>
      </c>
      <c r="E36" s="18" t="s">
        <v>39</v>
      </c>
    </row>
    <row r="37" spans="1:5" x14ac:dyDescent="0.2">
      <c r="A37" s="15" t="s">
        <v>200</v>
      </c>
      <c r="B37" s="4" t="s">
        <v>186</v>
      </c>
      <c r="C37" s="4" t="s">
        <v>170</v>
      </c>
      <c r="D37" s="4" t="s">
        <v>206</v>
      </c>
      <c r="E37" s="7" t="s">
        <v>232</v>
      </c>
    </row>
    <row r="38" spans="1:5" x14ac:dyDescent="0.2">
      <c r="A38" s="15" t="s">
        <v>224</v>
      </c>
      <c r="B38" s="4" t="s">
        <v>186</v>
      </c>
      <c r="C38" s="4" t="s">
        <v>233</v>
      </c>
      <c r="D38" s="4" t="s">
        <v>229</v>
      </c>
      <c r="E38" s="7" t="s">
        <v>234</v>
      </c>
    </row>
    <row r="39" spans="1:5" x14ac:dyDescent="0.2">
      <c r="A39" s="15" t="s">
        <v>217</v>
      </c>
      <c r="B39" s="4" t="s">
        <v>235</v>
      </c>
      <c r="C39" s="4" t="s">
        <v>41</v>
      </c>
      <c r="D39" s="4" t="s">
        <v>221</v>
      </c>
      <c r="E39" s="7" t="s">
        <v>236</v>
      </c>
    </row>
    <row r="44" spans="1:5" ht="18" x14ac:dyDescent="0.25">
      <c r="A44" s="8" t="s">
        <v>43</v>
      </c>
      <c r="B44" s="8"/>
    </row>
    <row r="45" spans="1:5" ht="15" x14ac:dyDescent="0.2">
      <c r="A45" s="18" t="s">
        <v>44</v>
      </c>
      <c r="B45" s="18" t="s">
        <v>45</v>
      </c>
      <c r="C45" s="18" t="s">
        <v>46</v>
      </c>
    </row>
    <row r="46" spans="1:5" x14ac:dyDescent="0.2">
      <c r="A46" s="4" t="s">
        <v>104</v>
      </c>
      <c r="B46" s="4" t="s">
        <v>237</v>
      </c>
      <c r="C46" s="4" t="s">
        <v>238</v>
      </c>
    </row>
    <row r="47" spans="1:5" x14ac:dyDescent="0.2">
      <c r="A47" s="4" t="s">
        <v>228</v>
      </c>
      <c r="B47" s="4" t="s">
        <v>47</v>
      </c>
      <c r="C47" s="4" t="s">
        <v>239</v>
      </c>
    </row>
    <row r="48" spans="1:5" x14ac:dyDescent="0.2">
      <c r="A48" s="4" t="s">
        <v>66</v>
      </c>
      <c r="B48" s="4" t="s">
        <v>47</v>
      </c>
      <c r="C48" s="4" t="s">
        <v>240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K3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sqref="A1:M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61.4257812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8.5703125" style="2" bestFit="1" customWidth="1"/>
    <col min="13" max="13" width="28.140625" style="4" bestFit="1" customWidth="1"/>
    <col min="14" max="16384" width="9.140625" style="3"/>
  </cols>
  <sheetData>
    <row r="1" spans="1:13" s="2" customFormat="1" ht="29.1" customHeight="1" x14ac:dyDescent="0.2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17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50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52</v>
      </c>
      <c r="B6" s="9" t="s">
        <v>53</v>
      </c>
      <c r="C6" s="9" t="s">
        <v>54</v>
      </c>
      <c r="D6" s="9" t="str">
        <f>"0,8170"</f>
        <v>0,8170</v>
      </c>
      <c r="E6" s="9" t="s">
        <v>55</v>
      </c>
      <c r="F6" s="9" t="s">
        <v>56</v>
      </c>
      <c r="G6" s="11" t="s">
        <v>57</v>
      </c>
      <c r="H6" s="11" t="s">
        <v>58</v>
      </c>
      <c r="I6" s="11" t="s">
        <v>59</v>
      </c>
      <c r="J6" s="10"/>
      <c r="K6" s="12" t="str">
        <f>"55,0"</f>
        <v>55,0</v>
      </c>
      <c r="L6" s="13" t="str">
        <f>"55,2700"</f>
        <v>55,2700</v>
      </c>
      <c r="M6" s="9" t="s">
        <v>60</v>
      </c>
    </row>
    <row r="8" spans="1:13" ht="15" x14ac:dyDescent="0.2">
      <c r="A8" s="35" t="s">
        <v>61</v>
      </c>
      <c r="B8" s="35"/>
      <c r="C8" s="35"/>
      <c r="D8" s="35"/>
      <c r="E8" s="35"/>
      <c r="F8" s="35"/>
      <c r="G8" s="35"/>
      <c r="H8" s="35"/>
      <c r="I8" s="35"/>
      <c r="J8" s="35"/>
    </row>
    <row r="9" spans="1:13" x14ac:dyDescent="0.2">
      <c r="A9" s="9" t="s">
        <v>63</v>
      </c>
      <c r="B9" s="9" t="s">
        <v>64</v>
      </c>
      <c r="C9" s="9" t="s">
        <v>65</v>
      </c>
      <c r="D9" s="9" t="str">
        <f>"0,7602"</f>
        <v>0,7602</v>
      </c>
      <c r="E9" s="9" t="s">
        <v>66</v>
      </c>
      <c r="F9" s="9" t="s">
        <v>56</v>
      </c>
      <c r="G9" s="11" t="s">
        <v>67</v>
      </c>
      <c r="H9" s="11" t="s">
        <v>68</v>
      </c>
      <c r="I9" s="10" t="s">
        <v>69</v>
      </c>
      <c r="J9" s="10"/>
      <c r="K9" s="12" t="str">
        <f>"110,0"</f>
        <v>110,0</v>
      </c>
      <c r="L9" s="13" t="str">
        <f>"83,6220"</f>
        <v>83,6220</v>
      </c>
      <c r="M9" s="9" t="s">
        <v>70</v>
      </c>
    </row>
    <row r="11" spans="1:13" ht="15" x14ac:dyDescent="0.2">
      <c r="A11" s="35" t="s">
        <v>71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 x14ac:dyDescent="0.2">
      <c r="A12" s="19" t="s">
        <v>73</v>
      </c>
      <c r="B12" s="19" t="s">
        <v>74</v>
      </c>
      <c r="C12" s="19" t="s">
        <v>75</v>
      </c>
      <c r="D12" s="19" t="str">
        <f>"0,6659"</f>
        <v>0,6659</v>
      </c>
      <c r="E12" s="19" t="s">
        <v>76</v>
      </c>
      <c r="F12" s="19" t="s">
        <v>56</v>
      </c>
      <c r="G12" s="21" t="s">
        <v>77</v>
      </c>
      <c r="H12" s="21" t="s">
        <v>78</v>
      </c>
      <c r="I12" s="21" t="s">
        <v>79</v>
      </c>
      <c r="J12" s="20"/>
      <c r="K12" s="28" t="str">
        <f>"170,0"</f>
        <v>170,0</v>
      </c>
      <c r="L12" s="29" t="str">
        <f>"113,2030"</f>
        <v>113,2030</v>
      </c>
      <c r="M12" s="19" t="s">
        <v>31</v>
      </c>
    </row>
    <row r="13" spans="1:13" x14ac:dyDescent="0.2">
      <c r="A13" s="22" t="s">
        <v>81</v>
      </c>
      <c r="B13" s="22" t="s">
        <v>82</v>
      </c>
      <c r="C13" s="22" t="s">
        <v>83</v>
      </c>
      <c r="D13" s="22" t="str">
        <f>"0,6723"</f>
        <v>0,6723</v>
      </c>
      <c r="E13" s="22" t="s">
        <v>84</v>
      </c>
      <c r="F13" s="22" t="s">
        <v>56</v>
      </c>
      <c r="G13" s="24" t="s">
        <v>85</v>
      </c>
      <c r="H13" s="24" t="s">
        <v>86</v>
      </c>
      <c r="I13" s="23"/>
      <c r="J13" s="23"/>
      <c r="K13" s="30" t="str">
        <f>"150,0"</f>
        <v>150,0</v>
      </c>
      <c r="L13" s="31" t="str">
        <f>"100,8450"</f>
        <v>100,8450</v>
      </c>
      <c r="M13" s="22" t="s">
        <v>31</v>
      </c>
    </row>
    <row r="14" spans="1:13" x14ac:dyDescent="0.2">
      <c r="A14" s="22" t="s">
        <v>88</v>
      </c>
      <c r="B14" s="22" t="s">
        <v>89</v>
      </c>
      <c r="C14" s="22" t="s">
        <v>90</v>
      </c>
      <c r="D14" s="22" t="str">
        <f>"0,6760"</f>
        <v>0,6760</v>
      </c>
      <c r="E14" s="22" t="s">
        <v>84</v>
      </c>
      <c r="F14" s="22" t="s">
        <v>56</v>
      </c>
      <c r="G14" s="24" t="s">
        <v>68</v>
      </c>
      <c r="H14" s="23" t="s">
        <v>91</v>
      </c>
      <c r="I14" s="23" t="s">
        <v>91</v>
      </c>
      <c r="J14" s="23"/>
      <c r="K14" s="30" t="str">
        <f>"110,0"</f>
        <v>110,0</v>
      </c>
      <c r="L14" s="31" t="str">
        <f>"74,3600"</f>
        <v>74,3600</v>
      </c>
      <c r="M14" s="22" t="s">
        <v>92</v>
      </c>
    </row>
    <row r="15" spans="1:13" x14ac:dyDescent="0.2">
      <c r="A15" s="22" t="s">
        <v>93</v>
      </c>
      <c r="B15" s="22" t="s">
        <v>94</v>
      </c>
      <c r="C15" s="22" t="s">
        <v>83</v>
      </c>
      <c r="D15" s="22" t="str">
        <f>"0,6723"</f>
        <v>0,6723</v>
      </c>
      <c r="E15" s="22" t="s">
        <v>84</v>
      </c>
      <c r="F15" s="22" t="s">
        <v>56</v>
      </c>
      <c r="G15" s="24" t="s">
        <v>85</v>
      </c>
      <c r="H15" s="24" t="s">
        <v>86</v>
      </c>
      <c r="I15" s="23"/>
      <c r="J15" s="23"/>
      <c r="K15" s="30" t="str">
        <f>"150,0"</f>
        <v>150,0</v>
      </c>
      <c r="L15" s="31" t="str">
        <f>"101,1475"</f>
        <v>101,1475</v>
      </c>
      <c r="M15" s="22" t="s">
        <v>31</v>
      </c>
    </row>
    <row r="16" spans="1:13" x14ac:dyDescent="0.2">
      <c r="A16" s="25" t="s">
        <v>96</v>
      </c>
      <c r="B16" s="25" t="s">
        <v>97</v>
      </c>
      <c r="C16" s="25" t="s">
        <v>98</v>
      </c>
      <c r="D16" s="25" t="str">
        <f>"0,6767"</f>
        <v>0,6767</v>
      </c>
      <c r="E16" s="25" t="s">
        <v>26</v>
      </c>
      <c r="F16" s="25" t="s">
        <v>27</v>
      </c>
      <c r="G16" s="27" t="s">
        <v>68</v>
      </c>
      <c r="H16" s="27" t="s">
        <v>69</v>
      </c>
      <c r="I16" s="26" t="s">
        <v>91</v>
      </c>
      <c r="J16" s="26"/>
      <c r="K16" s="32" t="str">
        <f>"115,0"</f>
        <v>115,0</v>
      </c>
      <c r="L16" s="33" t="str">
        <f>"78,0540"</f>
        <v>78,0540</v>
      </c>
      <c r="M16" s="25" t="s">
        <v>31</v>
      </c>
    </row>
    <row r="18" spans="1:13" ht="15" x14ac:dyDescent="0.2">
      <c r="A18" s="35" t="s">
        <v>99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3" x14ac:dyDescent="0.2">
      <c r="A19" s="19" t="s">
        <v>101</v>
      </c>
      <c r="B19" s="19" t="s">
        <v>102</v>
      </c>
      <c r="C19" s="19" t="s">
        <v>103</v>
      </c>
      <c r="D19" s="19" t="str">
        <f>"0,6335"</f>
        <v>0,6335</v>
      </c>
      <c r="E19" s="19" t="s">
        <v>104</v>
      </c>
      <c r="F19" s="19" t="s">
        <v>56</v>
      </c>
      <c r="G19" s="21" t="s">
        <v>105</v>
      </c>
      <c r="H19" s="21" t="s">
        <v>106</v>
      </c>
      <c r="I19" s="21" t="s">
        <v>107</v>
      </c>
      <c r="J19" s="20"/>
      <c r="K19" s="28" t="str">
        <f>"152,5"</f>
        <v>152,5</v>
      </c>
      <c r="L19" s="29" t="str">
        <f>"96,6087"</f>
        <v>96,6087</v>
      </c>
      <c r="M19" s="19" t="s">
        <v>31</v>
      </c>
    </row>
    <row r="20" spans="1:13" x14ac:dyDescent="0.2">
      <c r="A20" s="22" t="s">
        <v>109</v>
      </c>
      <c r="B20" s="22" t="s">
        <v>110</v>
      </c>
      <c r="C20" s="22" t="s">
        <v>111</v>
      </c>
      <c r="D20" s="22" t="str">
        <f>"0,6224"</f>
        <v>0,6224</v>
      </c>
      <c r="E20" s="22" t="s">
        <v>104</v>
      </c>
      <c r="F20" s="22" t="s">
        <v>56</v>
      </c>
      <c r="G20" s="24" t="s">
        <v>105</v>
      </c>
      <c r="H20" s="24" t="s">
        <v>106</v>
      </c>
      <c r="I20" s="24" t="s">
        <v>107</v>
      </c>
      <c r="J20" s="23"/>
      <c r="K20" s="30" t="str">
        <f>"152,5"</f>
        <v>152,5</v>
      </c>
      <c r="L20" s="31" t="str">
        <f>"94,9160"</f>
        <v>94,9160</v>
      </c>
      <c r="M20" s="22" t="s">
        <v>31</v>
      </c>
    </row>
    <row r="21" spans="1:13" x14ac:dyDescent="0.2">
      <c r="A21" s="25" t="s">
        <v>113</v>
      </c>
      <c r="B21" s="25" t="s">
        <v>114</v>
      </c>
      <c r="C21" s="25" t="s">
        <v>115</v>
      </c>
      <c r="D21" s="25" t="str">
        <f>"0,6246"</f>
        <v>0,6246</v>
      </c>
      <c r="E21" s="25" t="s">
        <v>84</v>
      </c>
      <c r="F21" s="25" t="s">
        <v>56</v>
      </c>
      <c r="G21" s="26" t="s">
        <v>91</v>
      </c>
      <c r="H21" s="27" t="s">
        <v>91</v>
      </c>
      <c r="I21" s="26" t="s">
        <v>116</v>
      </c>
      <c r="J21" s="26"/>
      <c r="K21" s="32" t="str">
        <f>"120,0"</f>
        <v>120,0</v>
      </c>
      <c r="L21" s="33" t="str">
        <f>"74,9520"</f>
        <v>74,9520</v>
      </c>
      <c r="M21" s="25" t="s">
        <v>31</v>
      </c>
    </row>
    <row r="23" spans="1:13" ht="15" x14ac:dyDescent="0.2">
      <c r="A23" s="35" t="s">
        <v>117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3" x14ac:dyDescent="0.2">
      <c r="A24" s="19" t="s">
        <v>119</v>
      </c>
      <c r="B24" s="19" t="s">
        <v>120</v>
      </c>
      <c r="C24" s="19" t="s">
        <v>121</v>
      </c>
      <c r="D24" s="19" t="str">
        <f>"0,6027"</f>
        <v>0,6027</v>
      </c>
      <c r="E24" s="19" t="s">
        <v>84</v>
      </c>
      <c r="F24" s="19" t="s">
        <v>122</v>
      </c>
      <c r="G24" s="21" t="s">
        <v>123</v>
      </c>
      <c r="H24" s="21" t="s">
        <v>124</v>
      </c>
      <c r="I24" s="21" t="s">
        <v>79</v>
      </c>
      <c r="J24" s="20"/>
      <c r="K24" s="28" t="str">
        <f>"170,0"</f>
        <v>170,0</v>
      </c>
      <c r="L24" s="29" t="str">
        <f>"102,4590"</f>
        <v>102,4590</v>
      </c>
      <c r="M24" s="19" t="s">
        <v>31</v>
      </c>
    </row>
    <row r="25" spans="1:13" x14ac:dyDescent="0.2">
      <c r="A25" s="22" t="s">
        <v>126</v>
      </c>
      <c r="B25" s="22" t="s">
        <v>127</v>
      </c>
      <c r="C25" s="22" t="s">
        <v>128</v>
      </c>
      <c r="D25" s="22" t="str">
        <f>"0,6045"</f>
        <v>0,6045</v>
      </c>
      <c r="E25" s="22" t="s">
        <v>26</v>
      </c>
      <c r="F25" s="22" t="s">
        <v>27</v>
      </c>
      <c r="G25" s="24" t="s">
        <v>91</v>
      </c>
      <c r="H25" s="23" t="s">
        <v>105</v>
      </c>
      <c r="I25" s="23" t="s">
        <v>105</v>
      </c>
      <c r="J25" s="23"/>
      <c r="K25" s="30" t="str">
        <f>"120,0"</f>
        <v>120,0</v>
      </c>
      <c r="L25" s="31" t="str">
        <f>"72,5400"</f>
        <v>72,5400</v>
      </c>
      <c r="M25" s="22" t="s">
        <v>31</v>
      </c>
    </row>
    <row r="26" spans="1:13" x14ac:dyDescent="0.2">
      <c r="A26" s="25" t="s">
        <v>130</v>
      </c>
      <c r="B26" s="25" t="s">
        <v>131</v>
      </c>
      <c r="C26" s="25" t="s">
        <v>132</v>
      </c>
      <c r="D26" s="25" t="str">
        <f>"0,5857"</f>
        <v>0,5857</v>
      </c>
      <c r="E26" s="25" t="s">
        <v>104</v>
      </c>
      <c r="F26" s="25" t="s">
        <v>56</v>
      </c>
      <c r="G26" s="27" t="s">
        <v>133</v>
      </c>
      <c r="H26" s="26" t="s">
        <v>123</v>
      </c>
      <c r="I26" s="27" t="s">
        <v>123</v>
      </c>
      <c r="J26" s="26"/>
      <c r="K26" s="32" t="str">
        <f>"155,0"</f>
        <v>155,0</v>
      </c>
      <c r="L26" s="33" t="str">
        <f>"90,7835"</f>
        <v>90,7835</v>
      </c>
      <c r="M26" s="25" t="s">
        <v>31</v>
      </c>
    </row>
    <row r="28" spans="1:13" ht="15" x14ac:dyDescent="0.2">
      <c r="A28" s="35" t="s">
        <v>134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3" x14ac:dyDescent="0.2">
      <c r="A29" s="19" t="s">
        <v>136</v>
      </c>
      <c r="B29" s="19" t="s">
        <v>137</v>
      </c>
      <c r="C29" s="19" t="s">
        <v>138</v>
      </c>
      <c r="D29" s="19" t="str">
        <f>"0,5575"</f>
        <v>0,5575</v>
      </c>
      <c r="E29" s="19" t="s">
        <v>84</v>
      </c>
      <c r="F29" s="19" t="s">
        <v>56</v>
      </c>
      <c r="G29" s="21" t="s">
        <v>123</v>
      </c>
      <c r="H29" s="21" t="s">
        <v>124</v>
      </c>
      <c r="I29" s="20" t="s">
        <v>79</v>
      </c>
      <c r="J29" s="20"/>
      <c r="K29" s="28" t="str">
        <f>"162,5"</f>
        <v>162,5</v>
      </c>
      <c r="L29" s="29" t="str">
        <f>"90,5938"</f>
        <v>90,5938</v>
      </c>
      <c r="M29" s="19" t="s">
        <v>31</v>
      </c>
    </row>
    <row r="30" spans="1:13" x14ac:dyDescent="0.2">
      <c r="A30" s="22" t="s">
        <v>140</v>
      </c>
      <c r="B30" s="22" t="s">
        <v>141</v>
      </c>
      <c r="C30" s="22" t="s">
        <v>142</v>
      </c>
      <c r="D30" s="22" t="str">
        <f>"0,5669"</f>
        <v>0,5669</v>
      </c>
      <c r="E30" s="22" t="s">
        <v>84</v>
      </c>
      <c r="F30" s="22" t="s">
        <v>143</v>
      </c>
      <c r="G30" s="24" t="s">
        <v>85</v>
      </c>
      <c r="H30" s="24" t="s">
        <v>133</v>
      </c>
      <c r="I30" s="24" t="s">
        <v>144</v>
      </c>
      <c r="J30" s="23"/>
      <c r="K30" s="30" t="str">
        <f>"142,5"</f>
        <v>142,5</v>
      </c>
      <c r="L30" s="31" t="str">
        <f>"80,7833"</f>
        <v>80,7833</v>
      </c>
      <c r="M30" s="22" t="s">
        <v>31</v>
      </c>
    </row>
    <row r="31" spans="1:13" x14ac:dyDescent="0.2">
      <c r="A31" s="25" t="s">
        <v>146</v>
      </c>
      <c r="B31" s="25" t="s">
        <v>147</v>
      </c>
      <c r="C31" s="25" t="s">
        <v>148</v>
      </c>
      <c r="D31" s="25" t="str">
        <f>"0,5660"</f>
        <v>0,5660</v>
      </c>
      <c r="E31" s="25" t="s">
        <v>55</v>
      </c>
      <c r="F31" s="25" t="s">
        <v>56</v>
      </c>
      <c r="G31" s="27" t="s">
        <v>105</v>
      </c>
      <c r="H31" s="27" t="s">
        <v>149</v>
      </c>
      <c r="I31" s="27" t="s">
        <v>144</v>
      </c>
      <c r="J31" s="26"/>
      <c r="K31" s="32" t="str">
        <f>"142,5"</f>
        <v>142,5</v>
      </c>
      <c r="L31" s="33" t="str">
        <f>"81,3809"</f>
        <v>81,3809</v>
      </c>
      <c r="M31" s="25" t="s">
        <v>150</v>
      </c>
    </row>
    <row r="33" spans="1:13" ht="15" x14ac:dyDescent="0.2">
      <c r="A33" s="35" t="s">
        <v>151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3" x14ac:dyDescent="0.2">
      <c r="A34" s="19" t="s">
        <v>153</v>
      </c>
      <c r="B34" s="19" t="s">
        <v>154</v>
      </c>
      <c r="C34" s="19" t="s">
        <v>155</v>
      </c>
      <c r="D34" s="19" t="str">
        <f>"0,5392"</f>
        <v>0,5392</v>
      </c>
      <c r="E34" s="19" t="s">
        <v>55</v>
      </c>
      <c r="F34" s="19" t="s">
        <v>56</v>
      </c>
      <c r="G34" s="21" t="s">
        <v>156</v>
      </c>
      <c r="H34" s="21" t="s">
        <v>157</v>
      </c>
      <c r="I34" s="20" t="s">
        <v>67</v>
      </c>
      <c r="J34" s="20"/>
      <c r="K34" s="28" t="str">
        <f>"95,0"</f>
        <v>95,0</v>
      </c>
      <c r="L34" s="29" t="str">
        <f>"55,3219"</f>
        <v>55,3219</v>
      </c>
      <c r="M34" s="19" t="s">
        <v>150</v>
      </c>
    </row>
    <row r="35" spans="1:13" x14ac:dyDescent="0.2">
      <c r="A35" s="25" t="s">
        <v>159</v>
      </c>
      <c r="B35" s="25" t="s">
        <v>160</v>
      </c>
      <c r="C35" s="25" t="s">
        <v>161</v>
      </c>
      <c r="D35" s="25" t="str">
        <f>"0,5416"</f>
        <v>0,5416</v>
      </c>
      <c r="E35" s="25" t="s">
        <v>55</v>
      </c>
      <c r="F35" s="25" t="s">
        <v>56</v>
      </c>
      <c r="G35" s="27" t="s">
        <v>85</v>
      </c>
      <c r="H35" s="27" t="s">
        <v>106</v>
      </c>
      <c r="I35" s="27" t="s">
        <v>123</v>
      </c>
      <c r="J35" s="26"/>
      <c r="K35" s="32" t="str">
        <f>"155,0"</f>
        <v>155,0</v>
      </c>
      <c r="L35" s="33" t="str">
        <f>"83,9480"</f>
        <v>83,9480</v>
      </c>
      <c r="M35" s="25" t="s">
        <v>150</v>
      </c>
    </row>
    <row r="37" spans="1:13" ht="15" x14ac:dyDescent="0.2">
      <c r="E37" s="6" t="s">
        <v>11</v>
      </c>
    </row>
    <row r="38" spans="1:13" ht="15" x14ac:dyDescent="0.2">
      <c r="E38" s="6" t="s">
        <v>12</v>
      </c>
    </row>
    <row r="39" spans="1:13" ht="15" x14ac:dyDescent="0.2">
      <c r="E39" s="6" t="s">
        <v>13</v>
      </c>
    </row>
    <row r="40" spans="1:13" ht="15" x14ac:dyDescent="0.2">
      <c r="E40" s="6" t="s">
        <v>14</v>
      </c>
    </row>
    <row r="41" spans="1:13" ht="15" x14ac:dyDescent="0.2">
      <c r="E41" s="6" t="s">
        <v>14</v>
      </c>
    </row>
    <row r="42" spans="1:13" ht="15" x14ac:dyDescent="0.2">
      <c r="E42" s="6" t="s">
        <v>15</v>
      </c>
    </row>
    <row r="43" spans="1:13" ht="15" x14ac:dyDescent="0.2">
      <c r="E43" s="6"/>
    </row>
    <row r="45" spans="1:13" ht="18" x14ac:dyDescent="0.25">
      <c r="A45" s="8" t="s">
        <v>16</v>
      </c>
      <c r="B45" s="8"/>
    </row>
    <row r="46" spans="1:13" ht="15" x14ac:dyDescent="0.2">
      <c r="A46" s="14" t="s">
        <v>32</v>
      </c>
      <c r="B46" s="14"/>
    </row>
    <row r="47" spans="1:13" ht="14.25" x14ac:dyDescent="0.2">
      <c r="A47" s="16"/>
      <c r="B47" s="17" t="s">
        <v>162</v>
      </c>
    </row>
    <row r="48" spans="1:13" ht="15" x14ac:dyDescent="0.2">
      <c r="A48" s="18" t="s">
        <v>34</v>
      </c>
      <c r="B48" s="18" t="s">
        <v>35</v>
      </c>
      <c r="C48" s="18" t="s">
        <v>36</v>
      </c>
      <c r="D48" s="18" t="s">
        <v>38</v>
      </c>
      <c r="E48" s="18" t="s">
        <v>39</v>
      </c>
    </row>
    <row r="49" spans="1:5" x14ac:dyDescent="0.2">
      <c r="A49" s="15" t="s">
        <v>152</v>
      </c>
      <c r="B49" s="4" t="s">
        <v>163</v>
      </c>
      <c r="C49" s="4" t="s">
        <v>164</v>
      </c>
      <c r="D49" s="4" t="s">
        <v>157</v>
      </c>
      <c r="E49" s="7" t="s">
        <v>165</v>
      </c>
    </row>
    <row r="50" spans="1:5" x14ac:dyDescent="0.2">
      <c r="A50" s="15" t="s">
        <v>51</v>
      </c>
      <c r="B50" s="4" t="s">
        <v>166</v>
      </c>
      <c r="C50" s="4" t="s">
        <v>167</v>
      </c>
      <c r="D50" s="4" t="s">
        <v>59</v>
      </c>
      <c r="E50" s="7" t="s">
        <v>168</v>
      </c>
    </row>
    <row r="52" spans="1:5" ht="14.25" x14ac:dyDescent="0.2">
      <c r="A52" s="16"/>
      <c r="B52" s="17" t="s">
        <v>169</v>
      </c>
    </row>
    <row r="53" spans="1:5" ht="15" x14ac:dyDescent="0.2">
      <c r="A53" s="18" t="s">
        <v>34</v>
      </c>
      <c r="B53" s="18" t="s">
        <v>35</v>
      </c>
      <c r="C53" s="18" t="s">
        <v>36</v>
      </c>
      <c r="D53" s="18" t="s">
        <v>38</v>
      </c>
      <c r="E53" s="18" t="s">
        <v>39</v>
      </c>
    </row>
    <row r="54" spans="1:5" x14ac:dyDescent="0.2">
      <c r="A54" s="15" t="s">
        <v>72</v>
      </c>
      <c r="B54" s="4" t="s">
        <v>169</v>
      </c>
      <c r="C54" s="4" t="s">
        <v>170</v>
      </c>
      <c r="D54" s="4" t="s">
        <v>79</v>
      </c>
      <c r="E54" s="7" t="s">
        <v>171</v>
      </c>
    </row>
    <row r="55" spans="1:5" x14ac:dyDescent="0.2">
      <c r="A55" s="15" t="s">
        <v>118</v>
      </c>
      <c r="B55" s="4" t="s">
        <v>169</v>
      </c>
      <c r="C55" s="4" t="s">
        <v>172</v>
      </c>
      <c r="D55" s="4" t="s">
        <v>79</v>
      </c>
      <c r="E55" s="7" t="s">
        <v>173</v>
      </c>
    </row>
    <row r="56" spans="1:5" x14ac:dyDescent="0.2">
      <c r="A56" s="15" t="s">
        <v>80</v>
      </c>
      <c r="B56" s="4" t="s">
        <v>169</v>
      </c>
      <c r="C56" s="4" t="s">
        <v>170</v>
      </c>
      <c r="D56" s="4" t="s">
        <v>86</v>
      </c>
      <c r="E56" s="7" t="s">
        <v>174</v>
      </c>
    </row>
    <row r="57" spans="1:5" x14ac:dyDescent="0.2">
      <c r="A57" s="15" t="s">
        <v>100</v>
      </c>
      <c r="B57" s="4" t="s">
        <v>169</v>
      </c>
      <c r="C57" s="4" t="s">
        <v>175</v>
      </c>
      <c r="D57" s="4" t="s">
        <v>107</v>
      </c>
      <c r="E57" s="7" t="s">
        <v>176</v>
      </c>
    </row>
    <row r="58" spans="1:5" x14ac:dyDescent="0.2">
      <c r="A58" s="15" t="s">
        <v>108</v>
      </c>
      <c r="B58" s="4" t="s">
        <v>169</v>
      </c>
      <c r="C58" s="4" t="s">
        <v>175</v>
      </c>
      <c r="D58" s="4" t="s">
        <v>107</v>
      </c>
      <c r="E58" s="7" t="s">
        <v>177</v>
      </c>
    </row>
    <row r="59" spans="1:5" x14ac:dyDescent="0.2">
      <c r="A59" s="15" t="s">
        <v>135</v>
      </c>
      <c r="B59" s="4" t="s">
        <v>169</v>
      </c>
      <c r="C59" s="4" t="s">
        <v>178</v>
      </c>
      <c r="D59" s="4" t="s">
        <v>124</v>
      </c>
      <c r="E59" s="7" t="s">
        <v>179</v>
      </c>
    </row>
    <row r="60" spans="1:5" x14ac:dyDescent="0.2">
      <c r="A60" s="15" t="s">
        <v>158</v>
      </c>
      <c r="B60" s="4" t="s">
        <v>169</v>
      </c>
      <c r="C60" s="4" t="s">
        <v>164</v>
      </c>
      <c r="D60" s="4" t="s">
        <v>123</v>
      </c>
      <c r="E60" s="7" t="s">
        <v>180</v>
      </c>
    </row>
    <row r="61" spans="1:5" x14ac:dyDescent="0.2">
      <c r="A61" s="15" t="s">
        <v>62</v>
      </c>
      <c r="B61" s="4" t="s">
        <v>169</v>
      </c>
      <c r="C61" s="4" t="s">
        <v>181</v>
      </c>
      <c r="D61" s="4" t="s">
        <v>68</v>
      </c>
      <c r="E61" s="7" t="s">
        <v>182</v>
      </c>
    </row>
    <row r="62" spans="1:5" x14ac:dyDescent="0.2">
      <c r="A62" s="15" t="s">
        <v>112</v>
      </c>
      <c r="B62" s="4" t="s">
        <v>169</v>
      </c>
      <c r="C62" s="4" t="s">
        <v>175</v>
      </c>
      <c r="D62" s="4" t="s">
        <v>91</v>
      </c>
      <c r="E62" s="7" t="s">
        <v>183</v>
      </c>
    </row>
    <row r="63" spans="1:5" x14ac:dyDescent="0.2">
      <c r="A63" s="15" t="s">
        <v>87</v>
      </c>
      <c r="B63" s="4" t="s">
        <v>169</v>
      </c>
      <c r="C63" s="4" t="s">
        <v>170</v>
      </c>
      <c r="D63" s="4" t="s">
        <v>68</v>
      </c>
      <c r="E63" s="7" t="s">
        <v>184</v>
      </c>
    </row>
    <row r="64" spans="1:5" x14ac:dyDescent="0.2">
      <c r="A64" s="15" t="s">
        <v>125</v>
      </c>
      <c r="B64" s="4" t="s">
        <v>169</v>
      </c>
      <c r="C64" s="4" t="s">
        <v>172</v>
      </c>
      <c r="D64" s="4" t="s">
        <v>91</v>
      </c>
      <c r="E64" s="7" t="s">
        <v>185</v>
      </c>
    </row>
    <row r="66" spans="1:5" ht="14.25" x14ac:dyDescent="0.2">
      <c r="A66" s="16"/>
      <c r="B66" s="17" t="s">
        <v>33</v>
      </c>
    </row>
    <row r="67" spans="1:5" ht="15" x14ac:dyDescent="0.2">
      <c r="A67" s="18" t="s">
        <v>34</v>
      </c>
      <c r="B67" s="18" t="s">
        <v>35</v>
      </c>
      <c r="C67" s="18" t="s">
        <v>36</v>
      </c>
      <c r="D67" s="18" t="s">
        <v>38</v>
      </c>
      <c r="E67" s="18" t="s">
        <v>39</v>
      </c>
    </row>
    <row r="68" spans="1:5" x14ac:dyDescent="0.2">
      <c r="A68" s="15" t="s">
        <v>80</v>
      </c>
      <c r="B68" s="4" t="s">
        <v>186</v>
      </c>
      <c r="C68" s="4" t="s">
        <v>170</v>
      </c>
      <c r="D68" s="4" t="s">
        <v>86</v>
      </c>
      <c r="E68" s="7" t="s">
        <v>187</v>
      </c>
    </row>
    <row r="69" spans="1:5" x14ac:dyDescent="0.2">
      <c r="A69" s="15" t="s">
        <v>129</v>
      </c>
      <c r="B69" s="4" t="s">
        <v>186</v>
      </c>
      <c r="C69" s="4" t="s">
        <v>172</v>
      </c>
      <c r="D69" s="4" t="s">
        <v>123</v>
      </c>
      <c r="E69" s="7" t="s">
        <v>188</v>
      </c>
    </row>
    <row r="70" spans="1:5" x14ac:dyDescent="0.2">
      <c r="A70" s="15" t="s">
        <v>145</v>
      </c>
      <c r="B70" s="4" t="s">
        <v>186</v>
      </c>
      <c r="C70" s="4" t="s">
        <v>178</v>
      </c>
      <c r="D70" s="4" t="s">
        <v>144</v>
      </c>
      <c r="E70" s="7" t="s">
        <v>189</v>
      </c>
    </row>
    <row r="71" spans="1:5" x14ac:dyDescent="0.2">
      <c r="A71" s="15" t="s">
        <v>139</v>
      </c>
      <c r="B71" s="4" t="s">
        <v>186</v>
      </c>
      <c r="C71" s="4" t="s">
        <v>178</v>
      </c>
      <c r="D71" s="4" t="s">
        <v>144</v>
      </c>
      <c r="E71" s="7" t="s">
        <v>190</v>
      </c>
    </row>
    <row r="72" spans="1:5" x14ac:dyDescent="0.2">
      <c r="A72" s="15" t="s">
        <v>95</v>
      </c>
      <c r="B72" s="4" t="s">
        <v>186</v>
      </c>
      <c r="C72" s="4" t="s">
        <v>170</v>
      </c>
      <c r="D72" s="4" t="s">
        <v>69</v>
      </c>
      <c r="E72" s="7" t="s">
        <v>191</v>
      </c>
    </row>
    <row r="77" spans="1:5" ht="18" x14ac:dyDescent="0.25">
      <c r="A77" s="8" t="s">
        <v>43</v>
      </c>
      <c r="B77" s="8"/>
    </row>
    <row r="78" spans="1:5" ht="15" x14ac:dyDescent="0.2">
      <c r="A78" s="18" t="s">
        <v>44</v>
      </c>
      <c r="B78" s="18" t="s">
        <v>45</v>
      </c>
      <c r="C78" s="18" t="s">
        <v>46</v>
      </c>
    </row>
    <row r="79" spans="1:5" x14ac:dyDescent="0.2">
      <c r="A79" s="4" t="s">
        <v>55</v>
      </c>
      <c r="B79" s="4" t="s">
        <v>192</v>
      </c>
      <c r="C79" s="4" t="s">
        <v>193</v>
      </c>
    </row>
    <row r="80" spans="1:5" x14ac:dyDescent="0.2">
      <c r="A80" s="4" t="s">
        <v>104</v>
      </c>
      <c r="B80" s="4" t="s">
        <v>194</v>
      </c>
      <c r="C80" s="4" t="s">
        <v>195</v>
      </c>
    </row>
    <row r="81" spans="1:3" x14ac:dyDescent="0.2">
      <c r="A81" s="4" t="s">
        <v>26</v>
      </c>
      <c r="B81" s="4" t="s">
        <v>196</v>
      </c>
      <c r="C81" s="4" t="s">
        <v>197</v>
      </c>
    </row>
    <row r="82" spans="1:3" x14ac:dyDescent="0.2">
      <c r="A82" s="4" t="s">
        <v>76</v>
      </c>
      <c r="B82" s="4" t="s">
        <v>47</v>
      </c>
      <c r="C82" s="4" t="s">
        <v>92</v>
      </c>
    </row>
    <row r="83" spans="1:3" x14ac:dyDescent="0.2">
      <c r="A83" s="4" t="s">
        <v>66</v>
      </c>
      <c r="B83" s="4" t="s">
        <v>47</v>
      </c>
      <c r="C83" s="4" t="s">
        <v>198</v>
      </c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A33:J33"/>
    <mergeCell ref="K3:K4"/>
    <mergeCell ref="L3:L4"/>
    <mergeCell ref="M3:M4"/>
    <mergeCell ref="A5:J5"/>
    <mergeCell ref="A8:J8"/>
    <mergeCell ref="A11:J11"/>
    <mergeCell ref="A18:J18"/>
    <mergeCell ref="A23:J23"/>
    <mergeCell ref="A28:J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1.42578125" style="4" bestFit="1" customWidth="1"/>
    <col min="7" max="9" width="5.5703125" style="3" customWidth="1"/>
    <col min="10" max="10" width="4.85546875" style="3" customWidth="1"/>
    <col min="11" max="11" width="7.85546875" style="7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20</v>
      </c>
      <c r="H3" s="36"/>
      <c r="I3" s="36"/>
      <c r="J3" s="36"/>
      <c r="K3" s="36" t="s">
        <v>17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21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23</v>
      </c>
      <c r="B6" s="9" t="s">
        <v>24</v>
      </c>
      <c r="C6" s="9" t="s">
        <v>25</v>
      </c>
      <c r="D6" s="9" t="str">
        <f>"0,5243"</f>
        <v>0,5243</v>
      </c>
      <c r="E6" s="9" t="s">
        <v>26</v>
      </c>
      <c r="F6" s="9" t="s">
        <v>27</v>
      </c>
      <c r="G6" s="11" t="s">
        <v>28</v>
      </c>
      <c r="H6" s="11" t="s">
        <v>29</v>
      </c>
      <c r="I6" s="11" t="s">
        <v>30</v>
      </c>
      <c r="J6" s="10"/>
      <c r="K6" s="12" t="str">
        <f>"172,5"</f>
        <v>172,5</v>
      </c>
      <c r="L6" s="13" t="str">
        <f>"98,7624"</f>
        <v>98,7624</v>
      </c>
      <c r="M6" s="9" t="s">
        <v>31</v>
      </c>
    </row>
    <row r="8" spans="1:13" ht="15" x14ac:dyDescent="0.2">
      <c r="E8" s="6" t="s">
        <v>11</v>
      </c>
    </row>
    <row r="9" spans="1:13" ht="15" x14ac:dyDescent="0.2">
      <c r="E9" s="6" t="s">
        <v>12</v>
      </c>
    </row>
    <row r="10" spans="1:13" ht="15" x14ac:dyDescent="0.2">
      <c r="E10" s="6" t="s">
        <v>13</v>
      </c>
    </row>
    <row r="11" spans="1:13" ht="15" x14ac:dyDescent="0.2">
      <c r="E11" s="6" t="s">
        <v>14</v>
      </c>
    </row>
    <row r="12" spans="1:13" ht="15" x14ac:dyDescent="0.2">
      <c r="E12" s="6" t="s">
        <v>14</v>
      </c>
    </row>
    <row r="13" spans="1:13" ht="15" x14ac:dyDescent="0.2">
      <c r="E13" s="6" t="s">
        <v>15</v>
      </c>
    </row>
    <row r="14" spans="1:13" ht="15" x14ac:dyDescent="0.2">
      <c r="E14" s="6"/>
    </row>
    <row r="16" spans="1:13" ht="18" x14ac:dyDescent="0.25">
      <c r="A16" s="8" t="s">
        <v>16</v>
      </c>
      <c r="B16" s="8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33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38</v>
      </c>
      <c r="E19" s="18" t="s">
        <v>39</v>
      </c>
    </row>
    <row r="20" spans="1:5" x14ac:dyDescent="0.2">
      <c r="A20" s="15" t="s">
        <v>22</v>
      </c>
      <c r="B20" s="4" t="s">
        <v>40</v>
      </c>
      <c r="C20" s="4" t="s">
        <v>41</v>
      </c>
      <c r="D20" s="4" t="s">
        <v>30</v>
      </c>
      <c r="E20" s="7" t="s">
        <v>42</v>
      </c>
    </row>
    <row r="25" spans="1:5" ht="18" x14ac:dyDescent="0.25">
      <c r="A25" s="8" t="s">
        <v>43</v>
      </c>
      <c r="B25" s="8"/>
    </row>
    <row r="26" spans="1:5" ht="15" x14ac:dyDescent="0.2">
      <c r="A26" s="18" t="s">
        <v>44</v>
      </c>
      <c r="B26" s="18" t="s">
        <v>45</v>
      </c>
      <c r="C26" s="18" t="s">
        <v>46</v>
      </c>
    </row>
    <row r="27" spans="1:5" x14ac:dyDescent="0.2">
      <c r="A27" s="4" t="s">
        <v>26</v>
      </c>
      <c r="B27" s="4" t="s">
        <v>47</v>
      </c>
      <c r="C27" s="4" t="s">
        <v>48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29.2851562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9.5703125" style="2" bestFit="1" customWidth="1"/>
    <col min="11" max="11" width="28.140625" style="4" bestFit="1" customWidth="1"/>
    <col min="12" max="16384" width="9.140625" style="3"/>
  </cols>
  <sheetData>
    <row r="1" spans="1:11" s="2" customFormat="1" ht="29.1" customHeight="1" x14ac:dyDescent="0.2">
      <c r="A1" s="42" t="s">
        <v>484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485</v>
      </c>
      <c r="E3" s="36" t="s">
        <v>4</v>
      </c>
      <c r="F3" s="36" t="s">
        <v>7</v>
      </c>
      <c r="G3" s="36" t="s">
        <v>486</v>
      </c>
      <c r="H3" s="36"/>
      <c r="I3" s="36" t="s">
        <v>422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71</v>
      </c>
      <c r="B5" s="41"/>
      <c r="C5" s="41"/>
      <c r="D5" s="41"/>
      <c r="E5" s="41"/>
      <c r="F5" s="41"/>
      <c r="G5" s="41"/>
      <c r="H5" s="41"/>
    </row>
    <row r="6" spans="1:11" x14ac:dyDescent="0.2">
      <c r="A6" s="19" t="s">
        <v>93</v>
      </c>
      <c r="B6" s="19" t="s">
        <v>82</v>
      </c>
      <c r="C6" s="19" t="s">
        <v>83</v>
      </c>
      <c r="D6" s="19" t="str">
        <f>"0,7987"</f>
        <v>0,7987</v>
      </c>
      <c r="E6" s="19" t="s">
        <v>84</v>
      </c>
      <c r="F6" s="19" t="s">
        <v>56</v>
      </c>
      <c r="G6" s="21" t="s">
        <v>357</v>
      </c>
      <c r="H6" s="21" t="s">
        <v>437</v>
      </c>
      <c r="I6" s="28" t="str">
        <f>"2925,0"</f>
        <v>2925,0</v>
      </c>
      <c r="J6" s="29" t="str">
        <f>"2336,1974"</f>
        <v>2336,1974</v>
      </c>
      <c r="K6" s="19" t="s">
        <v>31</v>
      </c>
    </row>
    <row r="7" spans="1:11" x14ac:dyDescent="0.2">
      <c r="A7" s="22" t="s">
        <v>439</v>
      </c>
      <c r="B7" s="22" t="s">
        <v>440</v>
      </c>
      <c r="C7" s="22" t="s">
        <v>441</v>
      </c>
      <c r="D7" s="22" t="str">
        <f>"0,7881"</f>
        <v>0,7881</v>
      </c>
      <c r="E7" s="22" t="s">
        <v>84</v>
      </c>
      <c r="F7" s="22" t="s">
        <v>56</v>
      </c>
      <c r="G7" s="24" t="s">
        <v>357</v>
      </c>
      <c r="H7" s="24" t="s">
        <v>442</v>
      </c>
      <c r="I7" s="30" t="str">
        <f>"2775,0"</f>
        <v>2775,0</v>
      </c>
      <c r="J7" s="31" t="str">
        <f>"2186,9775"</f>
        <v>2186,9775</v>
      </c>
      <c r="K7" s="22" t="s">
        <v>31</v>
      </c>
    </row>
    <row r="8" spans="1:11" x14ac:dyDescent="0.2">
      <c r="A8" s="22" t="s">
        <v>93</v>
      </c>
      <c r="B8" s="22" t="s">
        <v>94</v>
      </c>
      <c r="C8" s="22" t="s">
        <v>83</v>
      </c>
      <c r="D8" s="22" t="str">
        <f>"0,7987"</f>
        <v>0,7987</v>
      </c>
      <c r="E8" s="22" t="s">
        <v>84</v>
      </c>
      <c r="F8" s="22" t="s">
        <v>56</v>
      </c>
      <c r="G8" s="24" t="s">
        <v>357</v>
      </c>
      <c r="H8" s="24" t="s">
        <v>437</v>
      </c>
      <c r="I8" s="30" t="str">
        <f>"2925,0"</f>
        <v>2925,0</v>
      </c>
      <c r="J8" s="31" t="str">
        <f>"2336,1974"</f>
        <v>2336,1974</v>
      </c>
      <c r="K8" s="22" t="s">
        <v>31</v>
      </c>
    </row>
    <row r="9" spans="1:11" x14ac:dyDescent="0.2">
      <c r="A9" s="25" t="s">
        <v>487</v>
      </c>
      <c r="B9" s="25" t="s">
        <v>413</v>
      </c>
      <c r="C9" s="25" t="s">
        <v>414</v>
      </c>
      <c r="D9" s="25" t="str">
        <f>"0,7998"</f>
        <v>0,7998</v>
      </c>
      <c r="E9" s="25" t="s">
        <v>55</v>
      </c>
      <c r="F9" s="25" t="s">
        <v>415</v>
      </c>
      <c r="G9" s="27" t="s">
        <v>357</v>
      </c>
      <c r="H9" s="27" t="s">
        <v>416</v>
      </c>
      <c r="I9" s="32" t="str">
        <f>"2550,0"</f>
        <v>2550,0</v>
      </c>
      <c r="J9" s="33" t="str">
        <f>"2039,4899"</f>
        <v>2039,4899</v>
      </c>
      <c r="K9" s="25" t="s">
        <v>150</v>
      </c>
    </row>
    <row r="11" spans="1:11" ht="15" x14ac:dyDescent="0.2">
      <c r="A11" s="35" t="s">
        <v>117</v>
      </c>
      <c r="B11" s="35"/>
      <c r="C11" s="35"/>
      <c r="D11" s="35"/>
      <c r="E11" s="35"/>
      <c r="F11" s="35"/>
      <c r="G11" s="35"/>
      <c r="H11" s="35"/>
    </row>
    <row r="12" spans="1:11" x14ac:dyDescent="0.2">
      <c r="A12" s="9" t="s">
        <v>368</v>
      </c>
      <c r="B12" s="9" t="s">
        <v>369</v>
      </c>
      <c r="C12" s="9" t="s">
        <v>370</v>
      </c>
      <c r="D12" s="9" t="str">
        <f>"0,7557"</f>
        <v>0,7557</v>
      </c>
      <c r="E12" s="9" t="s">
        <v>55</v>
      </c>
      <c r="F12" s="9" t="s">
        <v>56</v>
      </c>
      <c r="G12" s="11" t="s">
        <v>354</v>
      </c>
      <c r="H12" s="11" t="s">
        <v>488</v>
      </c>
      <c r="I12" s="12" t="str">
        <f>"2465,0"</f>
        <v>2465,0</v>
      </c>
      <c r="J12" s="13" t="str">
        <f>"1862,8005"</f>
        <v>1862,8005</v>
      </c>
      <c r="K12" s="9" t="s">
        <v>60</v>
      </c>
    </row>
    <row r="14" spans="1:11" ht="15" x14ac:dyDescent="0.2">
      <c r="E14" s="6" t="s">
        <v>11</v>
      </c>
    </row>
    <row r="15" spans="1:11" ht="15" x14ac:dyDescent="0.2">
      <c r="E15" s="6" t="s">
        <v>12</v>
      </c>
    </row>
    <row r="16" spans="1:11" ht="15" x14ac:dyDescent="0.2">
      <c r="E16" s="6" t="s">
        <v>13</v>
      </c>
    </row>
    <row r="17" spans="1:5" ht="15" x14ac:dyDescent="0.2">
      <c r="E17" s="6" t="s">
        <v>14</v>
      </c>
    </row>
    <row r="18" spans="1:5" ht="15" x14ac:dyDescent="0.2">
      <c r="E18" s="6" t="s">
        <v>14</v>
      </c>
    </row>
    <row r="19" spans="1:5" ht="15" x14ac:dyDescent="0.2">
      <c r="E19" s="6" t="s">
        <v>15</v>
      </c>
    </row>
    <row r="20" spans="1:5" ht="15" x14ac:dyDescent="0.2">
      <c r="E20" s="6"/>
    </row>
    <row r="22" spans="1:5" ht="18" x14ac:dyDescent="0.25">
      <c r="A22" s="8" t="s">
        <v>16</v>
      </c>
      <c r="B22" s="8"/>
    </row>
    <row r="23" spans="1:5" ht="15" x14ac:dyDescent="0.2">
      <c r="A23" s="14" t="s">
        <v>32</v>
      </c>
      <c r="B23" s="14"/>
    </row>
    <row r="24" spans="1:5" ht="14.25" x14ac:dyDescent="0.2">
      <c r="A24" s="16"/>
      <c r="B24" s="17" t="s">
        <v>169</v>
      </c>
    </row>
    <row r="25" spans="1:5" ht="15" x14ac:dyDescent="0.2">
      <c r="A25" s="18" t="s">
        <v>34</v>
      </c>
      <c r="B25" s="18" t="s">
        <v>35</v>
      </c>
      <c r="C25" s="18" t="s">
        <v>36</v>
      </c>
      <c r="D25" s="18" t="s">
        <v>38</v>
      </c>
      <c r="E25" s="18" t="s">
        <v>489</v>
      </c>
    </row>
    <row r="26" spans="1:5" x14ac:dyDescent="0.2">
      <c r="A26" s="15" t="s">
        <v>80</v>
      </c>
      <c r="B26" s="4" t="s">
        <v>169</v>
      </c>
      <c r="C26" s="4" t="s">
        <v>170</v>
      </c>
      <c r="D26" s="4" t="s">
        <v>443</v>
      </c>
      <c r="E26" s="7" t="s">
        <v>490</v>
      </c>
    </row>
    <row r="27" spans="1:5" x14ac:dyDescent="0.2">
      <c r="A27" s="15" t="s">
        <v>438</v>
      </c>
      <c r="B27" s="4" t="s">
        <v>169</v>
      </c>
      <c r="C27" s="4" t="s">
        <v>170</v>
      </c>
      <c r="D27" s="4" t="s">
        <v>445</v>
      </c>
      <c r="E27" s="7" t="s">
        <v>491</v>
      </c>
    </row>
    <row r="29" spans="1:5" ht="14.25" x14ac:dyDescent="0.2">
      <c r="A29" s="16"/>
      <c r="B29" s="17" t="s">
        <v>33</v>
      </c>
    </row>
    <row r="30" spans="1:5" ht="15" x14ac:dyDescent="0.2">
      <c r="A30" s="18" t="s">
        <v>34</v>
      </c>
      <c r="B30" s="18" t="s">
        <v>35</v>
      </c>
      <c r="C30" s="18" t="s">
        <v>36</v>
      </c>
      <c r="D30" s="18" t="s">
        <v>38</v>
      </c>
      <c r="E30" s="18" t="s">
        <v>489</v>
      </c>
    </row>
    <row r="31" spans="1:5" x14ac:dyDescent="0.2">
      <c r="A31" s="15" t="s">
        <v>80</v>
      </c>
      <c r="B31" s="4" t="s">
        <v>186</v>
      </c>
      <c r="C31" s="4" t="s">
        <v>170</v>
      </c>
      <c r="D31" s="4" t="s">
        <v>443</v>
      </c>
      <c r="E31" s="7" t="s">
        <v>490</v>
      </c>
    </row>
    <row r="32" spans="1:5" x14ac:dyDescent="0.2">
      <c r="A32" s="15" t="s">
        <v>411</v>
      </c>
      <c r="B32" s="4" t="s">
        <v>186</v>
      </c>
      <c r="C32" s="4" t="s">
        <v>170</v>
      </c>
      <c r="D32" s="4" t="s">
        <v>419</v>
      </c>
      <c r="E32" s="7" t="s">
        <v>492</v>
      </c>
    </row>
    <row r="33" spans="1:5" x14ac:dyDescent="0.2">
      <c r="A33" s="15" t="s">
        <v>367</v>
      </c>
      <c r="B33" s="4" t="s">
        <v>186</v>
      </c>
      <c r="C33" s="4" t="s">
        <v>172</v>
      </c>
      <c r="D33" s="4" t="s">
        <v>493</v>
      </c>
      <c r="E33" s="7" t="s">
        <v>494</v>
      </c>
    </row>
    <row r="38" spans="1:5" ht="18" x14ac:dyDescent="0.25">
      <c r="A38" s="8" t="s">
        <v>43</v>
      </c>
      <c r="B38" s="8"/>
    </row>
    <row r="39" spans="1:5" ht="15" x14ac:dyDescent="0.2">
      <c r="A39" s="18" t="s">
        <v>44</v>
      </c>
      <c r="B39" s="18" t="s">
        <v>45</v>
      </c>
      <c r="C39" s="18" t="s">
        <v>46</v>
      </c>
    </row>
    <row r="40" spans="1:5" x14ac:dyDescent="0.2">
      <c r="A40" s="4" t="s">
        <v>55</v>
      </c>
      <c r="B40" s="4" t="s">
        <v>495</v>
      </c>
      <c r="C40" s="4" t="s">
        <v>496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11:H11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66.710937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7.5703125" style="2" bestFit="1" customWidth="1"/>
    <col min="11" max="11" width="28.140625" style="4" bestFit="1" customWidth="1"/>
    <col min="12" max="16384" width="9.140625" style="3"/>
  </cols>
  <sheetData>
    <row r="1" spans="1:11" s="2" customFormat="1" ht="29.1" customHeight="1" x14ac:dyDescent="0.2">
      <c r="A1" s="42" t="s">
        <v>447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408</v>
      </c>
      <c r="E3" s="36" t="s">
        <v>4</v>
      </c>
      <c r="F3" s="36" t="s">
        <v>7</v>
      </c>
      <c r="G3" s="36" t="s">
        <v>448</v>
      </c>
      <c r="H3" s="36"/>
      <c r="I3" s="36" t="s">
        <v>422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410</v>
      </c>
      <c r="B5" s="41"/>
      <c r="C5" s="41"/>
      <c r="D5" s="41"/>
      <c r="E5" s="41"/>
      <c r="F5" s="41"/>
      <c r="G5" s="41"/>
      <c r="H5" s="41"/>
    </row>
    <row r="6" spans="1:11" x14ac:dyDescent="0.2">
      <c r="A6" s="19" t="s">
        <v>450</v>
      </c>
      <c r="B6" s="19" t="s">
        <v>451</v>
      </c>
      <c r="C6" s="19" t="s">
        <v>452</v>
      </c>
      <c r="D6" s="19" t="str">
        <f t="shared" ref="D6:D13" si="0">"1,0000"</f>
        <v>1,0000</v>
      </c>
      <c r="E6" s="19" t="s">
        <v>55</v>
      </c>
      <c r="F6" s="19" t="s">
        <v>56</v>
      </c>
      <c r="G6" s="21" t="s">
        <v>58</v>
      </c>
      <c r="H6" s="21" t="s">
        <v>453</v>
      </c>
      <c r="I6" s="28" t="str">
        <f>"250,0"</f>
        <v>250,0</v>
      </c>
      <c r="J6" s="29" t="str">
        <f>"3,5561"</f>
        <v>3,5561</v>
      </c>
      <c r="K6" s="19" t="s">
        <v>60</v>
      </c>
    </row>
    <row r="7" spans="1:11" x14ac:dyDescent="0.2">
      <c r="A7" s="22" t="s">
        <v>455</v>
      </c>
      <c r="B7" s="22" t="s">
        <v>456</v>
      </c>
      <c r="C7" s="22" t="s">
        <v>457</v>
      </c>
      <c r="D7" s="22" t="str">
        <f t="shared" si="0"/>
        <v>1,0000</v>
      </c>
      <c r="E7" s="22" t="s">
        <v>66</v>
      </c>
      <c r="F7" s="22" t="s">
        <v>56</v>
      </c>
      <c r="G7" s="24" t="s">
        <v>58</v>
      </c>
      <c r="H7" s="24" t="s">
        <v>458</v>
      </c>
      <c r="I7" s="30" t="str">
        <f>"2550,0"</f>
        <v>2550,0</v>
      </c>
      <c r="J7" s="31" t="str">
        <f>"34,5997"</f>
        <v>34,5997</v>
      </c>
      <c r="K7" s="22" t="s">
        <v>31</v>
      </c>
    </row>
    <row r="8" spans="1:11" x14ac:dyDescent="0.2">
      <c r="A8" s="22" t="s">
        <v>300</v>
      </c>
      <c r="B8" s="22" t="s">
        <v>301</v>
      </c>
      <c r="C8" s="22" t="s">
        <v>302</v>
      </c>
      <c r="D8" s="22" t="str">
        <f t="shared" si="0"/>
        <v>1,0000</v>
      </c>
      <c r="E8" s="22" t="s">
        <v>26</v>
      </c>
      <c r="F8" s="22" t="s">
        <v>27</v>
      </c>
      <c r="G8" s="24" t="s">
        <v>58</v>
      </c>
      <c r="H8" s="24" t="s">
        <v>458</v>
      </c>
      <c r="I8" s="30" t="str">
        <f>"2550,0"</f>
        <v>2550,0</v>
      </c>
      <c r="J8" s="31" t="str">
        <f>"25,9409"</f>
        <v>25,9409</v>
      </c>
      <c r="K8" s="22" t="s">
        <v>31</v>
      </c>
    </row>
    <row r="9" spans="1:11" x14ac:dyDescent="0.2">
      <c r="A9" s="22" t="s">
        <v>459</v>
      </c>
      <c r="B9" s="22" t="s">
        <v>160</v>
      </c>
      <c r="C9" s="22" t="s">
        <v>161</v>
      </c>
      <c r="D9" s="22" t="str">
        <f t="shared" si="0"/>
        <v>1,0000</v>
      </c>
      <c r="E9" s="22" t="s">
        <v>55</v>
      </c>
      <c r="F9" s="22" t="s">
        <v>56</v>
      </c>
      <c r="G9" s="24" t="s">
        <v>58</v>
      </c>
      <c r="H9" s="24" t="s">
        <v>442</v>
      </c>
      <c r="I9" s="30" t="str">
        <f>"1850,0"</f>
        <v>1850,0</v>
      </c>
      <c r="J9" s="31" t="str">
        <f>"17,4035"</f>
        <v>17,4035</v>
      </c>
      <c r="K9" s="22" t="s">
        <v>150</v>
      </c>
    </row>
    <row r="10" spans="1:11" x14ac:dyDescent="0.2">
      <c r="A10" s="22" t="s">
        <v>460</v>
      </c>
      <c r="B10" s="22" t="s">
        <v>297</v>
      </c>
      <c r="C10" s="22" t="s">
        <v>298</v>
      </c>
      <c r="D10" s="22" t="str">
        <f t="shared" si="0"/>
        <v>1,0000</v>
      </c>
      <c r="E10" s="22" t="s">
        <v>55</v>
      </c>
      <c r="F10" s="22" t="s">
        <v>56</v>
      </c>
      <c r="G10" s="24" t="s">
        <v>58</v>
      </c>
      <c r="H10" s="24" t="s">
        <v>461</v>
      </c>
      <c r="I10" s="30" t="str">
        <f>"1050,0"</f>
        <v>1050,0</v>
      </c>
      <c r="J10" s="31" t="str">
        <f>"12,2377"</f>
        <v>12,2377</v>
      </c>
      <c r="K10" s="22" t="s">
        <v>60</v>
      </c>
    </row>
    <row r="11" spans="1:11" x14ac:dyDescent="0.2">
      <c r="A11" s="22" t="s">
        <v>412</v>
      </c>
      <c r="B11" s="22" t="s">
        <v>413</v>
      </c>
      <c r="C11" s="22" t="s">
        <v>414</v>
      </c>
      <c r="D11" s="22" t="str">
        <f t="shared" si="0"/>
        <v>1,0000</v>
      </c>
      <c r="E11" s="22" t="s">
        <v>55</v>
      </c>
      <c r="F11" s="22" t="s">
        <v>415</v>
      </c>
      <c r="G11" s="24" t="s">
        <v>58</v>
      </c>
      <c r="H11" s="24" t="s">
        <v>462</v>
      </c>
      <c r="I11" s="30" t="str">
        <f>"1800,0"</f>
        <v>1800,0</v>
      </c>
      <c r="J11" s="31" t="str">
        <f>"24,3902"</f>
        <v>24,3902</v>
      </c>
      <c r="K11" s="22" t="s">
        <v>150</v>
      </c>
    </row>
    <row r="12" spans="1:11" x14ac:dyDescent="0.2">
      <c r="A12" s="22" t="s">
        <v>267</v>
      </c>
      <c r="B12" s="22" t="s">
        <v>268</v>
      </c>
      <c r="C12" s="22" t="s">
        <v>269</v>
      </c>
      <c r="D12" s="22" t="str">
        <f t="shared" si="0"/>
        <v>1,0000</v>
      </c>
      <c r="E12" s="22" t="s">
        <v>84</v>
      </c>
      <c r="F12" s="22" t="s">
        <v>56</v>
      </c>
      <c r="G12" s="24" t="s">
        <v>58</v>
      </c>
      <c r="H12" s="24" t="s">
        <v>442</v>
      </c>
      <c r="I12" s="30" t="str">
        <f>"1850,0"</f>
        <v>1850,0</v>
      </c>
      <c r="J12" s="31" t="str">
        <f>"13,7546"</f>
        <v>13,7546</v>
      </c>
      <c r="K12" s="22" t="s">
        <v>271</v>
      </c>
    </row>
    <row r="13" spans="1:11" x14ac:dyDescent="0.2">
      <c r="A13" s="25" t="s">
        <v>464</v>
      </c>
      <c r="B13" s="25" t="s">
        <v>465</v>
      </c>
      <c r="C13" s="25" t="s">
        <v>132</v>
      </c>
      <c r="D13" s="25" t="str">
        <f t="shared" si="0"/>
        <v>1,0000</v>
      </c>
      <c r="E13" s="25" t="s">
        <v>104</v>
      </c>
      <c r="F13" s="25" t="s">
        <v>56</v>
      </c>
      <c r="G13" s="27" t="s">
        <v>58</v>
      </c>
      <c r="H13" s="27" t="s">
        <v>466</v>
      </c>
      <c r="I13" s="32" t="str">
        <f>"1200,0"</f>
        <v>1200,0</v>
      </c>
      <c r="J13" s="33" t="str">
        <f>"13,3481"</f>
        <v>13,3481</v>
      </c>
      <c r="K13" s="25" t="s">
        <v>31</v>
      </c>
    </row>
    <row r="15" spans="1:11" ht="15" x14ac:dyDescent="0.2">
      <c r="E15" s="6" t="s">
        <v>11</v>
      </c>
    </row>
    <row r="16" spans="1:11" ht="15" x14ac:dyDescent="0.2">
      <c r="E16" s="6" t="s">
        <v>12</v>
      </c>
    </row>
    <row r="17" spans="1:5" ht="15" x14ac:dyDescent="0.2">
      <c r="E17" s="6" t="s">
        <v>13</v>
      </c>
    </row>
    <row r="18" spans="1:5" ht="15" x14ac:dyDescent="0.2">
      <c r="E18" s="6" t="s">
        <v>14</v>
      </c>
    </row>
    <row r="19" spans="1:5" ht="15" x14ac:dyDescent="0.2">
      <c r="E19" s="6" t="s">
        <v>14</v>
      </c>
    </row>
    <row r="20" spans="1:5" ht="15" x14ac:dyDescent="0.2">
      <c r="E20" s="6" t="s">
        <v>15</v>
      </c>
    </row>
    <row r="21" spans="1:5" ht="15" x14ac:dyDescent="0.2">
      <c r="E21" s="6"/>
    </row>
    <row r="23" spans="1:5" ht="18" x14ac:dyDescent="0.25">
      <c r="A23" s="8" t="s">
        <v>16</v>
      </c>
      <c r="B23" s="8"/>
    </row>
    <row r="24" spans="1:5" ht="15" x14ac:dyDescent="0.2">
      <c r="A24" s="14" t="s">
        <v>32</v>
      </c>
      <c r="B24" s="14"/>
    </row>
    <row r="25" spans="1:5" ht="14.25" x14ac:dyDescent="0.2">
      <c r="A25" s="16"/>
      <c r="B25" s="17" t="s">
        <v>162</v>
      </c>
    </row>
    <row r="26" spans="1:5" ht="15" x14ac:dyDescent="0.2">
      <c r="A26" s="18" t="s">
        <v>34</v>
      </c>
      <c r="B26" s="18" t="s">
        <v>35</v>
      </c>
      <c r="C26" s="18" t="s">
        <v>36</v>
      </c>
      <c r="D26" s="18" t="s">
        <v>38</v>
      </c>
      <c r="E26" s="18" t="s">
        <v>417</v>
      </c>
    </row>
    <row r="27" spans="1:5" x14ac:dyDescent="0.2">
      <c r="A27" s="15" t="s">
        <v>449</v>
      </c>
      <c r="B27" s="4" t="s">
        <v>380</v>
      </c>
      <c r="C27" s="4" t="s">
        <v>418</v>
      </c>
      <c r="D27" s="4" t="s">
        <v>270</v>
      </c>
      <c r="E27" s="7" t="s">
        <v>467</v>
      </c>
    </row>
    <row r="29" spans="1:5" ht="14.25" x14ac:dyDescent="0.2">
      <c r="A29" s="16"/>
      <c r="B29" s="17" t="s">
        <v>169</v>
      </c>
    </row>
    <row r="30" spans="1:5" ht="15" x14ac:dyDescent="0.2">
      <c r="A30" s="18" t="s">
        <v>34</v>
      </c>
      <c r="B30" s="18" t="s">
        <v>35</v>
      </c>
      <c r="C30" s="18" t="s">
        <v>36</v>
      </c>
      <c r="D30" s="18" t="s">
        <v>38</v>
      </c>
      <c r="E30" s="18" t="s">
        <v>417</v>
      </c>
    </row>
    <row r="31" spans="1:5" x14ac:dyDescent="0.2">
      <c r="A31" s="15" t="s">
        <v>454</v>
      </c>
      <c r="B31" s="4" t="s">
        <v>169</v>
      </c>
      <c r="C31" s="4" t="s">
        <v>418</v>
      </c>
      <c r="D31" s="4" t="s">
        <v>419</v>
      </c>
      <c r="E31" s="7" t="s">
        <v>468</v>
      </c>
    </row>
    <row r="32" spans="1:5" x14ac:dyDescent="0.2">
      <c r="A32" s="15" t="s">
        <v>299</v>
      </c>
      <c r="B32" s="4" t="s">
        <v>169</v>
      </c>
      <c r="C32" s="4" t="s">
        <v>418</v>
      </c>
      <c r="D32" s="4" t="s">
        <v>419</v>
      </c>
      <c r="E32" s="7" t="s">
        <v>469</v>
      </c>
    </row>
    <row r="33" spans="1:5" x14ac:dyDescent="0.2">
      <c r="A33" s="15" t="s">
        <v>158</v>
      </c>
      <c r="B33" s="4" t="s">
        <v>169</v>
      </c>
      <c r="C33" s="4" t="s">
        <v>418</v>
      </c>
      <c r="D33" s="4" t="s">
        <v>470</v>
      </c>
      <c r="E33" s="7" t="s">
        <v>471</v>
      </c>
    </row>
    <row r="34" spans="1:5" x14ac:dyDescent="0.2">
      <c r="A34" s="15" t="s">
        <v>295</v>
      </c>
      <c r="B34" s="4" t="s">
        <v>169</v>
      </c>
      <c r="C34" s="4" t="s">
        <v>418</v>
      </c>
      <c r="D34" s="4" t="s">
        <v>472</v>
      </c>
      <c r="E34" s="7" t="s">
        <v>473</v>
      </c>
    </row>
    <row r="36" spans="1:5" ht="14.25" x14ac:dyDescent="0.2">
      <c r="A36" s="16"/>
      <c r="B36" s="17" t="s">
        <v>33</v>
      </c>
    </row>
    <row r="37" spans="1:5" ht="15" x14ac:dyDescent="0.2">
      <c r="A37" s="18" t="s">
        <v>34</v>
      </c>
      <c r="B37" s="18" t="s">
        <v>35</v>
      </c>
      <c r="C37" s="18" t="s">
        <v>36</v>
      </c>
      <c r="D37" s="18" t="s">
        <v>38</v>
      </c>
      <c r="E37" s="18" t="s">
        <v>417</v>
      </c>
    </row>
    <row r="38" spans="1:5" x14ac:dyDescent="0.2">
      <c r="A38" s="15" t="s">
        <v>411</v>
      </c>
      <c r="B38" s="4" t="s">
        <v>186</v>
      </c>
      <c r="C38" s="4" t="s">
        <v>418</v>
      </c>
      <c r="D38" s="4" t="s">
        <v>474</v>
      </c>
      <c r="E38" s="7" t="s">
        <v>475</v>
      </c>
    </row>
    <row r="39" spans="1:5" x14ac:dyDescent="0.2">
      <c r="A39" s="15" t="s">
        <v>266</v>
      </c>
      <c r="B39" s="4" t="s">
        <v>40</v>
      </c>
      <c r="C39" s="4" t="s">
        <v>418</v>
      </c>
      <c r="D39" s="4" t="s">
        <v>470</v>
      </c>
      <c r="E39" s="7" t="s">
        <v>476</v>
      </c>
    </row>
    <row r="40" spans="1:5" x14ac:dyDescent="0.2">
      <c r="A40" s="15" t="s">
        <v>463</v>
      </c>
      <c r="B40" s="4" t="s">
        <v>433</v>
      </c>
      <c r="C40" s="4" t="s">
        <v>418</v>
      </c>
      <c r="D40" s="4" t="s">
        <v>477</v>
      </c>
      <c r="E40" s="7" t="s">
        <v>478</v>
      </c>
    </row>
    <row r="45" spans="1:5" ht="18" x14ac:dyDescent="0.25">
      <c r="A45" s="8" t="s">
        <v>43</v>
      </c>
      <c r="B45" s="8"/>
    </row>
    <row r="46" spans="1:5" ht="15" x14ac:dyDescent="0.2">
      <c r="A46" s="18" t="s">
        <v>44</v>
      </c>
      <c r="B46" s="18" t="s">
        <v>45</v>
      </c>
      <c r="C46" s="18" t="s">
        <v>46</v>
      </c>
    </row>
    <row r="47" spans="1:5" x14ac:dyDescent="0.2">
      <c r="A47" s="4" t="s">
        <v>55</v>
      </c>
      <c r="B47" s="4" t="s">
        <v>479</v>
      </c>
      <c r="C47" s="4" t="s">
        <v>480</v>
      </c>
    </row>
    <row r="48" spans="1:5" x14ac:dyDescent="0.2">
      <c r="A48" s="4" t="s">
        <v>104</v>
      </c>
      <c r="B48" s="4" t="s">
        <v>47</v>
      </c>
      <c r="C48" s="4" t="s">
        <v>481</v>
      </c>
    </row>
    <row r="49" spans="1:3" x14ac:dyDescent="0.2">
      <c r="A49" s="4" t="s">
        <v>66</v>
      </c>
      <c r="B49" s="4" t="s">
        <v>47</v>
      </c>
      <c r="C49" s="4" t="s">
        <v>70</v>
      </c>
    </row>
    <row r="50" spans="1:3" x14ac:dyDescent="0.2">
      <c r="A50" s="4" t="s">
        <v>26</v>
      </c>
      <c r="B50" s="4" t="s">
        <v>482</v>
      </c>
      <c r="C50" s="4" t="s">
        <v>483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436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408</v>
      </c>
      <c r="E3" s="36" t="s">
        <v>4</v>
      </c>
      <c r="F3" s="36" t="s">
        <v>7</v>
      </c>
      <c r="G3" s="36" t="s">
        <v>409</v>
      </c>
      <c r="H3" s="36"/>
      <c r="I3" s="36" t="s">
        <v>422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410</v>
      </c>
      <c r="B5" s="41"/>
      <c r="C5" s="41"/>
      <c r="D5" s="41"/>
      <c r="E5" s="41"/>
      <c r="F5" s="41"/>
      <c r="G5" s="41"/>
      <c r="H5" s="41"/>
    </row>
    <row r="6" spans="1:11" x14ac:dyDescent="0.2">
      <c r="A6" s="19" t="s">
        <v>93</v>
      </c>
      <c r="B6" s="19" t="s">
        <v>82</v>
      </c>
      <c r="C6" s="19" t="s">
        <v>83</v>
      </c>
      <c r="D6" s="19" t="str">
        <f>"1,0000"</f>
        <v>1,0000</v>
      </c>
      <c r="E6" s="19" t="s">
        <v>84</v>
      </c>
      <c r="F6" s="19" t="s">
        <v>56</v>
      </c>
      <c r="G6" s="21" t="s">
        <v>357</v>
      </c>
      <c r="H6" s="21" t="s">
        <v>437</v>
      </c>
      <c r="I6" s="28" t="str">
        <f>"2925,0"</f>
        <v>2925,0</v>
      </c>
      <c r="J6" s="29" t="str">
        <f>"39,5805"</f>
        <v>39,5805</v>
      </c>
      <c r="K6" s="19" t="s">
        <v>31</v>
      </c>
    </row>
    <row r="7" spans="1:11" x14ac:dyDescent="0.2">
      <c r="A7" s="22" t="s">
        <v>439</v>
      </c>
      <c r="B7" s="22" t="s">
        <v>440</v>
      </c>
      <c r="C7" s="22" t="s">
        <v>441</v>
      </c>
      <c r="D7" s="22" t="str">
        <f>"1,0000"</f>
        <v>1,0000</v>
      </c>
      <c r="E7" s="22" t="s">
        <v>84</v>
      </c>
      <c r="F7" s="22" t="s">
        <v>56</v>
      </c>
      <c r="G7" s="24" t="s">
        <v>357</v>
      </c>
      <c r="H7" s="24" t="s">
        <v>442</v>
      </c>
      <c r="I7" s="30" t="str">
        <f>"2775,0"</f>
        <v>2775,0</v>
      </c>
      <c r="J7" s="31" t="str">
        <f>"37,0493"</f>
        <v>37,0493</v>
      </c>
      <c r="K7" s="22" t="s">
        <v>31</v>
      </c>
    </row>
    <row r="8" spans="1:11" x14ac:dyDescent="0.2">
      <c r="A8" s="25" t="s">
        <v>93</v>
      </c>
      <c r="B8" s="25" t="s">
        <v>94</v>
      </c>
      <c r="C8" s="25" t="s">
        <v>83</v>
      </c>
      <c r="D8" s="25" t="str">
        <f>"1,0000"</f>
        <v>1,0000</v>
      </c>
      <c r="E8" s="25" t="s">
        <v>84</v>
      </c>
      <c r="F8" s="25" t="s">
        <v>56</v>
      </c>
      <c r="G8" s="27" t="s">
        <v>357</v>
      </c>
      <c r="H8" s="27" t="s">
        <v>437</v>
      </c>
      <c r="I8" s="32" t="str">
        <f>"2925,0"</f>
        <v>2925,0</v>
      </c>
      <c r="J8" s="33" t="str">
        <f>"39,5805"</f>
        <v>39,5805</v>
      </c>
      <c r="K8" s="25" t="s">
        <v>31</v>
      </c>
    </row>
    <row r="10" spans="1:11" ht="15" x14ac:dyDescent="0.2">
      <c r="E10" s="6" t="s">
        <v>11</v>
      </c>
    </row>
    <row r="11" spans="1:11" ht="15" x14ac:dyDescent="0.2">
      <c r="E11" s="6" t="s">
        <v>12</v>
      </c>
    </row>
    <row r="12" spans="1:11" ht="15" x14ac:dyDescent="0.2">
      <c r="E12" s="6" t="s">
        <v>13</v>
      </c>
    </row>
    <row r="13" spans="1:11" ht="15" x14ac:dyDescent="0.2">
      <c r="E13" s="6" t="s">
        <v>14</v>
      </c>
    </row>
    <row r="14" spans="1:11" ht="15" x14ac:dyDescent="0.2">
      <c r="E14" s="6" t="s">
        <v>14</v>
      </c>
    </row>
    <row r="15" spans="1:11" ht="15" x14ac:dyDescent="0.2">
      <c r="E15" s="6" t="s">
        <v>15</v>
      </c>
    </row>
    <row r="16" spans="1:11" ht="15" x14ac:dyDescent="0.2">
      <c r="E16" s="6"/>
    </row>
    <row r="18" spans="1:5" ht="18" x14ac:dyDescent="0.25">
      <c r="A18" s="8" t="s">
        <v>16</v>
      </c>
      <c r="B18" s="8"/>
    </row>
    <row r="19" spans="1:5" ht="15" x14ac:dyDescent="0.2">
      <c r="A19" s="14" t="s">
        <v>32</v>
      </c>
      <c r="B19" s="14"/>
    </row>
    <row r="20" spans="1:5" ht="14.25" x14ac:dyDescent="0.2">
      <c r="A20" s="16"/>
      <c r="B20" s="17" t="s">
        <v>169</v>
      </c>
    </row>
    <row r="21" spans="1:5" ht="15" x14ac:dyDescent="0.2">
      <c r="A21" s="18" t="s">
        <v>34</v>
      </c>
      <c r="B21" s="18" t="s">
        <v>35</v>
      </c>
      <c r="C21" s="18" t="s">
        <v>36</v>
      </c>
      <c r="D21" s="18" t="s">
        <v>38</v>
      </c>
      <c r="E21" s="18" t="s">
        <v>417</v>
      </c>
    </row>
    <row r="22" spans="1:5" x14ac:dyDescent="0.2">
      <c r="A22" s="15" t="s">
        <v>80</v>
      </c>
      <c r="B22" s="4" t="s">
        <v>169</v>
      </c>
      <c r="C22" s="4" t="s">
        <v>418</v>
      </c>
      <c r="D22" s="4" t="s">
        <v>443</v>
      </c>
      <c r="E22" s="7" t="s">
        <v>444</v>
      </c>
    </row>
    <row r="23" spans="1:5" x14ac:dyDescent="0.2">
      <c r="A23" s="15" t="s">
        <v>438</v>
      </c>
      <c r="B23" s="4" t="s">
        <v>169</v>
      </c>
      <c r="C23" s="4" t="s">
        <v>418</v>
      </c>
      <c r="D23" s="4" t="s">
        <v>445</v>
      </c>
      <c r="E23" s="7" t="s">
        <v>446</v>
      </c>
    </row>
    <row r="25" spans="1:5" ht="14.25" x14ac:dyDescent="0.2">
      <c r="A25" s="16"/>
      <c r="B25" s="17" t="s">
        <v>33</v>
      </c>
    </row>
    <row r="26" spans="1:5" ht="15" x14ac:dyDescent="0.2">
      <c r="A26" s="18" t="s">
        <v>34</v>
      </c>
      <c r="B26" s="18" t="s">
        <v>35</v>
      </c>
      <c r="C26" s="18" t="s">
        <v>36</v>
      </c>
      <c r="D26" s="18" t="s">
        <v>38</v>
      </c>
      <c r="E26" s="18" t="s">
        <v>417</v>
      </c>
    </row>
    <row r="27" spans="1:5" x14ac:dyDescent="0.2">
      <c r="A27" s="15" t="s">
        <v>80</v>
      </c>
      <c r="B27" s="4" t="s">
        <v>186</v>
      </c>
      <c r="C27" s="4" t="s">
        <v>418</v>
      </c>
      <c r="D27" s="4" t="s">
        <v>443</v>
      </c>
      <c r="E27" s="7" t="s">
        <v>444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8554687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2" t="s">
        <v>427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408</v>
      </c>
      <c r="E3" s="36" t="s">
        <v>4</v>
      </c>
      <c r="F3" s="36" t="s">
        <v>7</v>
      </c>
      <c r="G3" s="36" t="s">
        <v>409</v>
      </c>
      <c r="H3" s="36"/>
      <c r="I3" s="36" t="s">
        <v>422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410</v>
      </c>
      <c r="B5" s="41"/>
      <c r="C5" s="41"/>
      <c r="D5" s="41"/>
      <c r="E5" s="41"/>
      <c r="F5" s="41"/>
      <c r="G5" s="41"/>
      <c r="H5" s="41"/>
    </row>
    <row r="6" spans="1:11" x14ac:dyDescent="0.2">
      <c r="A6" s="9" t="s">
        <v>429</v>
      </c>
      <c r="B6" s="9" t="s">
        <v>430</v>
      </c>
      <c r="C6" s="9" t="s">
        <v>431</v>
      </c>
      <c r="D6" s="9" t="str">
        <f>"1,0000"</f>
        <v>1,0000</v>
      </c>
      <c r="E6" s="9" t="s">
        <v>84</v>
      </c>
      <c r="F6" s="9" t="s">
        <v>432</v>
      </c>
      <c r="G6" s="11" t="s">
        <v>59</v>
      </c>
      <c r="H6" s="11" t="s">
        <v>59</v>
      </c>
      <c r="I6" s="12" t="str">
        <f>"3025,0"</f>
        <v>3025,0</v>
      </c>
      <c r="J6" s="13" t="str">
        <f>"33,9506"</f>
        <v>33,9506</v>
      </c>
      <c r="K6" s="9" t="s">
        <v>31</v>
      </c>
    </row>
    <row r="8" spans="1:11" ht="15" x14ac:dyDescent="0.2">
      <c r="E8" s="6" t="s">
        <v>11</v>
      </c>
    </row>
    <row r="9" spans="1:11" ht="15" x14ac:dyDescent="0.2">
      <c r="E9" s="6" t="s">
        <v>12</v>
      </c>
    </row>
    <row r="10" spans="1:11" ht="15" x14ac:dyDescent="0.2">
      <c r="E10" s="6" t="s">
        <v>13</v>
      </c>
    </row>
    <row r="11" spans="1:11" ht="15" x14ac:dyDescent="0.2">
      <c r="E11" s="6" t="s">
        <v>14</v>
      </c>
    </row>
    <row r="12" spans="1:11" ht="15" x14ac:dyDescent="0.2">
      <c r="E12" s="6" t="s">
        <v>14</v>
      </c>
    </row>
    <row r="13" spans="1:11" ht="15" x14ac:dyDescent="0.2">
      <c r="E13" s="6" t="s">
        <v>15</v>
      </c>
    </row>
    <row r="14" spans="1:11" ht="15" x14ac:dyDescent="0.2">
      <c r="E14" s="6"/>
    </row>
    <row r="16" spans="1:11" ht="18" x14ac:dyDescent="0.25">
      <c r="A16" s="8" t="s">
        <v>16</v>
      </c>
      <c r="B16" s="8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33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38</v>
      </c>
      <c r="E19" s="18" t="s">
        <v>417</v>
      </c>
    </row>
    <row r="20" spans="1:5" x14ac:dyDescent="0.2">
      <c r="A20" s="15" t="s">
        <v>428</v>
      </c>
      <c r="B20" s="4" t="s">
        <v>433</v>
      </c>
      <c r="C20" s="4" t="s">
        <v>418</v>
      </c>
      <c r="D20" s="4" t="s">
        <v>434</v>
      </c>
      <c r="E20" s="7" t="s">
        <v>435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9.8554687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7" width="5.5703125" style="3" customWidth="1"/>
    <col min="8" max="8" width="10.42578125" style="3" customWidth="1"/>
    <col min="9" max="9" width="7.85546875" style="7" bestFit="1" customWidth="1"/>
    <col min="10" max="10" width="7.5703125" style="2" bestFit="1" customWidth="1"/>
    <col min="11" max="11" width="16.7109375" style="4" bestFit="1" customWidth="1"/>
    <col min="12" max="16384" width="9.140625" style="3"/>
  </cols>
  <sheetData>
    <row r="1" spans="1:11" s="2" customFormat="1" ht="29.1" customHeight="1" x14ac:dyDescent="0.2">
      <c r="A1" s="42" t="s">
        <v>423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408</v>
      </c>
      <c r="E3" s="36" t="s">
        <v>4</v>
      </c>
      <c r="F3" s="36" t="s">
        <v>7</v>
      </c>
      <c r="G3" s="36" t="s">
        <v>409</v>
      </c>
      <c r="H3" s="36"/>
      <c r="I3" s="36" t="s">
        <v>422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410</v>
      </c>
      <c r="B5" s="41"/>
      <c r="C5" s="41"/>
      <c r="D5" s="41"/>
      <c r="E5" s="41"/>
      <c r="F5" s="41"/>
      <c r="G5" s="41"/>
      <c r="H5" s="41"/>
    </row>
    <row r="6" spans="1:11" x14ac:dyDescent="0.2">
      <c r="A6" s="9" t="s">
        <v>396</v>
      </c>
      <c r="B6" s="9" t="s">
        <v>397</v>
      </c>
      <c r="C6" s="9" t="s">
        <v>398</v>
      </c>
      <c r="D6" s="9" t="str">
        <f>"1,0000"</f>
        <v>1,0000</v>
      </c>
      <c r="E6" s="9" t="s">
        <v>55</v>
      </c>
      <c r="F6" s="9" t="s">
        <v>56</v>
      </c>
      <c r="G6" s="11" t="s">
        <v>67</v>
      </c>
      <c r="H6" s="11" t="s">
        <v>424</v>
      </c>
      <c r="I6" s="12" t="str">
        <f>"1900,0"</f>
        <v>1900,0</v>
      </c>
      <c r="J6" s="13" t="str">
        <f>"21,9146"</f>
        <v>21,9146</v>
      </c>
      <c r="K6" s="9" t="s">
        <v>60</v>
      </c>
    </row>
    <row r="8" spans="1:11" ht="15" x14ac:dyDescent="0.2">
      <c r="E8" s="6" t="s">
        <v>11</v>
      </c>
    </row>
    <row r="9" spans="1:11" ht="15" x14ac:dyDescent="0.2">
      <c r="E9" s="6" t="s">
        <v>12</v>
      </c>
    </row>
    <row r="10" spans="1:11" ht="15" x14ac:dyDescent="0.2">
      <c r="E10" s="6" t="s">
        <v>13</v>
      </c>
    </row>
    <row r="11" spans="1:11" ht="15" x14ac:dyDescent="0.2">
      <c r="E11" s="6" t="s">
        <v>14</v>
      </c>
    </row>
    <row r="12" spans="1:11" ht="15" x14ac:dyDescent="0.2">
      <c r="E12" s="6" t="s">
        <v>14</v>
      </c>
    </row>
    <row r="13" spans="1:11" ht="15" x14ac:dyDescent="0.2">
      <c r="E13" s="6" t="s">
        <v>15</v>
      </c>
    </row>
    <row r="14" spans="1:11" ht="15" x14ac:dyDescent="0.2">
      <c r="E14" s="6"/>
    </row>
    <row r="16" spans="1:11" ht="18" x14ac:dyDescent="0.25">
      <c r="A16" s="8" t="s">
        <v>16</v>
      </c>
      <c r="B16" s="8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169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38</v>
      </c>
      <c r="E19" s="18" t="s">
        <v>417</v>
      </c>
    </row>
    <row r="20" spans="1:5" x14ac:dyDescent="0.2">
      <c r="A20" s="15" t="s">
        <v>395</v>
      </c>
      <c r="B20" s="4" t="s">
        <v>169</v>
      </c>
      <c r="C20" s="4" t="s">
        <v>418</v>
      </c>
      <c r="D20" s="4" t="s">
        <v>425</v>
      </c>
      <c r="E20" s="7" t="s">
        <v>426</v>
      </c>
    </row>
    <row r="25" spans="1:5" ht="18" x14ac:dyDescent="0.25">
      <c r="A25" s="8" t="s">
        <v>43</v>
      </c>
      <c r="B25" s="8"/>
    </row>
    <row r="26" spans="1:5" ht="15" x14ac:dyDescent="0.2">
      <c r="A26" s="18" t="s">
        <v>44</v>
      </c>
      <c r="B26" s="18" t="s">
        <v>45</v>
      </c>
      <c r="C26" s="18" t="s">
        <v>46</v>
      </c>
    </row>
    <row r="27" spans="1:5" x14ac:dyDescent="0.2">
      <c r="A27" s="4" t="s">
        <v>55</v>
      </c>
      <c r="B27" s="4" t="s">
        <v>47</v>
      </c>
      <c r="C27" s="4" t="s">
        <v>403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7" width="5" style="3" customWidth="1"/>
    <col min="8" max="8" width="10.42578125" style="3" customWidth="1"/>
    <col min="9" max="9" width="7.85546875" style="7" bestFit="1" customWidth="1"/>
    <col min="10" max="10" width="7.5703125" style="2" bestFit="1" customWidth="1"/>
    <col min="11" max="11" width="28.140625" style="4" bestFit="1" customWidth="1"/>
    <col min="12" max="16384" width="9.140625" style="3"/>
  </cols>
  <sheetData>
    <row r="1" spans="1:11" s="2" customFormat="1" ht="29.1" customHeight="1" x14ac:dyDescent="0.2">
      <c r="A1" s="42" t="s">
        <v>407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408</v>
      </c>
      <c r="E3" s="36" t="s">
        <v>4</v>
      </c>
      <c r="F3" s="36" t="s">
        <v>7</v>
      </c>
      <c r="G3" s="36" t="s">
        <v>409</v>
      </c>
      <c r="H3" s="36"/>
      <c r="I3" s="36" t="s">
        <v>422</v>
      </c>
      <c r="J3" s="36" t="s">
        <v>3</v>
      </c>
      <c r="K3" s="38" t="s">
        <v>2</v>
      </c>
    </row>
    <row r="4" spans="1:11" s="1" customFormat="1" ht="21" customHeight="1" thickBot="1" x14ac:dyDescent="0.25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 x14ac:dyDescent="0.2">
      <c r="A5" s="40" t="s">
        <v>410</v>
      </c>
      <c r="B5" s="41"/>
      <c r="C5" s="41"/>
      <c r="D5" s="41"/>
      <c r="E5" s="41"/>
      <c r="F5" s="41"/>
      <c r="G5" s="41"/>
      <c r="H5" s="41"/>
    </row>
    <row r="6" spans="1:11" x14ac:dyDescent="0.2">
      <c r="A6" s="9" t="s">
        <v>412</v>
      </c>
      <c r="B6" s="9" t="s">
        <v>413</v>
      </c>
      <c r="C6" s="9" t="s">
        <v>414</v>
      </c>
      <c r="D6" s="9" t="str">
        <f>"1,0000"</f>
        <v>1,0000</v>
      </c>
      <c r="E6" s="9" t="s">
        <v>55</v>
      </c>
      <c r="F6" s="9" t="s">
        <v>415</v>
      </c>
      <c r="G6" s="11" t="s">
        <v>357</v>
      </c>
      <c r="H6" s="11" t="s">
        <v>416</v>
      </c>
      <c r="I6" s="12" t="str">
        <f>"2550,0"</f>
        <v>2550,0</v>
      </c>
      <c r="J6" s="13" t="str">
        <f>"34,5528"</f>
        <v>34,5528</v>
      </c>
      <c r="K6" s="9" t="s">
        <v>150</v>
      </c>
    </row>
    <row r="8" spans="1:11" ht="15" x14ac:dyDescent="0.2">
      <c r="E8" s="6" t="s">
        <v>11</v>
      </c>
    </row>
    <row r="9" spans="1:11" ht="15" x14ac:dyDescent="0.2">
      <c r="E9" s="6" t="s">
        <v>12</v>
      </c>
    </row>
    <row r="10" spans="1:11" ht="15" x14ac:dyDescent="0.2">
      <c r="E10" s="6" t="s">
        <v>13</v>
      </c>
    </row>
    <row r="11" spans="1:11" ht="15" x14ac:dyDescent="0.2">
      <c r="E11" s="6" t="s">
        <v>14</v>
      </c>
    </row>
    <row r="12" spans="1:11" ht="15" x14ac:dyDescent="0.2">
      <c r="E12" s="6" t="s">
        <v>14</v>
      </c>
    </row>
    <row r="13" spans="1:11" ht="15" x14ac:dyDescent="0.2">
      <c r="E13" s="6" t="s">
        <v>15</v>
      </c>
    </row>
    <row r="14" spans="1:11" ht="15" x14ac:dyDescent="0.2">
      <c r="E14" s="6"/>
    </row>
    <row r="16" spans="1:11" ht="18" x14ac:dyDescent="0.25">
      <c r="A16" s="8" t="s">
        <v>16</v>
      </c>
      <c r="B16" s="8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33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38</v>
      </c>
      <c r="E19" s="18" t="s">
        <v>417</v>
      </c>
    </row>
    <row r="20" spans="1:5" x14ac:dyDescent="0.2">
      <c r="A20" s="15" t="s">
        <v>411</v>
      </c>
      <c r="B20" s="4" t="s">
        <v>186</v>
      </c>
      <c r="C20" s="4" t="s">
        <v>418</v>
      </c>
      <c r="D20" s="4" t="s">
        <v>419</v>
      </c>
      <c r="E20" s="7" t="s">
        <v>420</v>
      </c>
    </row>
    <row r="25" spans="1:5" ht="18" x14ac:dyDescent="0.25">
      <c r="A25" s="8" t="s">
        <v>43</v>
      </c>
      <c r="B25" s="8"/>
    </row>
    <row r="26" spans="1:5" ht="15" x14ac:dyDescent="0.2">
      <c r="A26" s="18" t="s">
        <v>44</v>
      </c>
      <c r="B26" s="18" t="s">
        <v>45</v>
      </c>
      <c r="C26" s="18" t="s">
        <v>46</v>
      </c>
    </row>
    <row r="27" spans="1:5" x14ac:dyDescent="0.2">
      <c r="A27" s="4" t="s">
        <v>55</v>
      </c>
      <c r="B27" s="4" t="s">
        <v>47</v>
      </c>
      <c r="C27" s="4" t="s">
        <v>421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42578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40.1406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7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42" t="s">
        <v>404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405</v>
      </c>
      <c r="H3" s="36"/>
      <c r="I3" s="36"/>
      <c r="J3" s="36"/>
      <c r="K3" s="36" t="s">
        <v>329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 x14ac:dyDescent="0.2">
      <c r="A5" s="40" t="s">
        <v>99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x14ac:dyDescent="0.2">
      <c r="A6" s="9" t="s">
        <v>349</v>
      </c>
      <c r="B6" s="9" t="s">
        <v>350</v>
      </c>
      <c r="C6" s="9" t="s">
        <v>351</v>
      </c>
      <c r="D6" s="9" t="str">
        <f>"0,6273"</f>
        <v>0,6273</v>
      </c>
      <c r="E6" s="9" t="s">
        <v>76</v>
      </c>
      <c r="F6" s="9" t="s">
        <v>352</v>
      </c>
      <c r="G6" s="11" t="s">
        <v>221</v>
      </c>
      <c r="H6" s="11" t="s">
        <v>353</v>
      </c>
      <c r="I6" s="10" t="s">
        <v>354</v>
      </c>
      <c r="J6" s="10"/>
      <c r="K6" s="11" t="s">
        <v>355</v>
      </c>
      <c r="L6" s="11" t="s">
        <v>356</v>
      </c>
      <c r="M6" s="11" t="s">
        <v>357</v>
      </c>
      <c r="N6" s="10"/>
      <c r="O6" s="12" t="str">
        <f>"157,5"</f>
        <v>157,5</v>
      </c>
      <c r="P6" s="13" t="str">
        <f>"98,7998"</f>
        <v>98,7998</v>
      </c>
      <c r="Q6" s="9" t="s">
        <v>31</v>
      </c>
    </row>
    <row r="8" spans="1:17" ht="15" x14ac:dyDescent="0.2">
      <c r="E8" s="6" t="s">
        <v>11</v>
      </c>
    </row>
    <row r="9" spans="1:17" ht="15" x14ac:dyDescent="0.2">
      <c r="E9" s="6" t="s">
        <v>12</v>
      </c>
    </row>
    <row r="10" spans="1:17" ht="15" x14ac:dyDescent="0.2">
      <c r="E10" s="6" t="s">
        <v>13</v>
      </c>
    </row>
    <row r="11" spans="1:17" ht="15" x14ac:dyDescent="0.2">
      <c r="E11" s="6" t="s">
        <v>14</v>
      </c>
    </row>
    <row r="12" spans="1:17" ht="15" x14ac:dyDescent="0.2">
      <c r="E12" s="6" t="s">
        <v>14</v>
      </c>
    </row>
    <row r="13" spans="1:17" ht="15" x14ac:dyDescent="0.2">
      <c r="E13" s="6" t="s">
        <v>15</v>
      </c>
    </row>
    <row r="14" spans="1:17" ht="15" x14ac:dyDescent="0.2">
      <c r="E14" s="6"/>
    </row>
    <row r="16" spans="1:17" ht="18" x14ac:dyDescent="0.25">
      <c r="A16" s="8" t="s">
        <v>16</v>
      </c>
      <c r="B16" s="8"/>
    </row>
    <row r="17" spans="1:5" ht="15" x14ac:dyDescent="0.2">
      <c r="A17" s="14" t="s">
        <v>32</v>
      </c>
      <c r="B17" s="14"/>
    </row>
    <row r="18" spans="1:5" ht="14.25" x14ac:dyDescent="0.2">
      <c r="A18" s="16"/>
      <c r="B18" s="17" t="s">
        <v>382</v>
      </c>
    </row>
    <row r="19" spans="1:5" ht="15" x14ac:dyDescent="0.2">
      <c r="A19" s="18" t="s">
        <v>34</v>
      </c>
      <c r="B19" s="18" t="s">
        <v>35</v>
      </c>
      <c r="C19" s="18" t="s">
        <v>36</v>
      </c>
      <c r="D19" s="18" t="s">
        <v>37</v>
      </c>
      <c r="E19" s="18" t="s">
        <v>39</v>
      </c>
    </row>
    <row r="20" spans="1:5" x14ac:dyDescent="0.2">
      <c r="A20" s="15" t="s">
        <v>348</v>
      </c>
      <c r="B20" s="4" t="s">
        <v>383</v>
      </c>
      <c r="C20" s="4" t="s">
        <v>175</v>
      </c>
      <c r="D20" s="4" t="s">
        <v>77</v>
      </c>
      <c r="E20" s="7" t="s">
        <v>406</v>
      </c>
    </row>
    <row r="25" spans="1:5" ht="18" x14ac:dyDescent="0.25">
      <c r="A25" s="8" t="s">
        <v>43</v>
      </c>
      <c r="B25" s="8"/>
    </row>
    <row r="26" spans="1:5" ht="15" x14ac:dyDescent="0.2">
      <c r="A26" s="18" t="s">
        <v>44</v>
      </c>
      <c r="B26" s="18" t="s">
        <v>45</v>
      </c>
      <c r="C26" s="18" t="s">
        <v>46</v>
      </c>
    </row>
    <row r="27" spans="1:5" x14ac:dyDescent="0.2">
      <c r="A27" s="4" t="s">
        <v>76</v>
      </c>
      <c r="B27" s="4" t="s">
        <v>47</v>
      </c>
      <c r="C27" s="4" t="s">
        <v>393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Y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9.85546875" style="4" bestFit="1" customWidth="1"/>
    <col min="4" max="4" width="11.85546875" style="4" bestFit="1" customWidth="1"/>
    <col min="5" max="5" width="22.7109375" style="4" bestFit="1" customWidth="1"/>
    <col min="6" max="6" width="48.5703125" style="4" bestFit="1" customWidth="1"/>
    <col min="7" max="9" width="4.5703125" style="3" customWidth="1"/>
    <col min="10" max="10" width="4.85546875" style="3" customWidth="1"/>
    <col min="11" max="11" width="7.85546875" style="7" bestFit="1" customWidth="1"/>
    <col min="12" max="12" width="7.5703125" style="2" bestFit="1" customWidth="1"/>
    <col min="13" max="13" width="16.7109375" style="4" bestFit="1" customWidth="1"/>
    <col min="14" max="16384" width="9.140625" style="3"/>
  </cols>
  <sheetData>
    <row r="1" spans="1:13" s="2" customFormat="1" ht="29.1" customHeight="1" x14ac:dyDescent="0.2">
      <c r="A1" s="42" t="s">
        <v>394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 x14ac:dyDescent="0.2">
      <c r="A3" s="48" t="s">
        <v>0</v>
      </c>
      <c r="B3" s="50" t="s">
        <v>6</v>
      </c>
      <c r="C3" s="50" t="s">
        <v>10</v>
      </c>
      <c r="D3" s="36" t="s">
        <v>19</v>
      </c>
      <c r="E3" s="36" t="s">
        <v>4</v>
      </c>
      <c r="F3" s="36" t="s">
        <v>7</v>
      </c>
      <c r="G3" s="36" t="s">
        <v>329</v>
      </c>
      <c r="H3" s="36"/>
      <c r="I3" s="36"/>
      <c r="J3" s="36"/>
      <c r="K3" s="36" t="s">
        <v>17</v>
      </c>
      <c r="L3" s="36" t="s">
        <v>3</v>
      </c>
      <c r="M3" s="38" t="s">
        <v>2</v>
      </c>
    </row>
    <row r="4" spans="1:13" s="1" customFormat="1" ht="21" customHeight="1" thickBot="1" x14ac:dyDescent="0.25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 x14ac:dyDescent="0.2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x14ac:dyDescent="0.2">
      <c r="A6" s="9" t="s">
        <v>396</v>
      </c>
      <c r="B6" s="9" t="s">
        <v>397</v>
      </c>
      <c r="C6" s="9" t="s">
        <v>398</v>
      </c>
      <c r="D6" s="9" t="str">
        <f>"0,5991"</f>
        <v>0,5991</v>
      </c>
      <c r="E6" s="9" t="s">
        <v>55</v>
      </c>
      <c r="F6" s="9" t="s">
        <v>56</v>
      </c>
      <c r="G6" s="11" t="s">
        <v>362</v>
      </c>
      <c r="H6" s="11" t="s">
        <v>399</v>
      </c>
      <c r="I6" s="11" t="s">
        <v>375</v>
      </c>
      <c r="J6" s="10"/>
      <c r="K6" s="12" t="str">
        <f>"77,5"</f>
        <v>77,5</v>
      </c>
      <c r="L6" s="13" t="str">
        <f>"46,4302"</f>
        <v>46,4302</v>
      </c>
      <c r="M6" s="9" t="s">
        <v>60</v>
      </c>
    </row>
    <row r="8" spans="1:13" ht="15" x14ac:dyDescent="0.2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</row>
    <row r="9" spans="1:13" x14ac:dyDescent="0.2">
      <c r="A9" s="9" t="s">
        <v>23</v>
      </c>
      <c r="B9" s="9" t="s">
        <v>24</v>
      </c>
      <c r="C9" s="9" t="s">
        <v>25</v>
      </c>
      <c r="D9" s="9" t="str">
        <f>"0,5243"</f>
        <v>0,5243</v>
      </c>
      <c r="E9" s="9" t="s">
        <v>26</v>
      </c>
      <c r="F9" s="9" t="s">
        <v>27</v>
      </c>
      <c r="G9" s="11" t="s">
        <v>221</v>
      </c>
      <c r="H9" s="11" t="s">
        <v>354</v>
      </c>
      <c r="I9" s="10" t="s">
        <v>400</v>
      </c>
      <c r="J9" s="10"/>
      <c r="K9" s="12" t="str">
        <f>"85,0"</f>
        <v>85,0</v>
      </c>
      <c r="L9" s="13" t="str">
        <f>"48,6655"</f>
        <v>48,6655</v>
      </c>
      <c r="M9" s="9" t="s">
        <v>31</v>
      </c>
    </row>
    <row r="11" spans="1:13" ht="15" x14ac:dyDescent="0.2">
      <c r="E11" s="6" t="s">
        <v>11</v>
      </c>
    </row>
    <row r="12" spans="1:13" ht="15" x14ac:dyDescent="0.2">
      <c r="E12" s="6" t="s">
        <v>12</v>
      </c>
    </row>
    <row r="13" spans="1:13" ht="15" x14ac:dyDescent="0.2">
      <c r="E13" s="6" t="s">
        <v>13</v>
      </c>
    </row>
    <row r="14" spans="1:13" ht="15" x14ac:dyDescent="0.2">
      <c r="E14" s="6" t="s">
        <v>14</v>
      </c>
    </row>
    <row r="15" spans="1:13" ht="15" x14ac:dyDescent="0.2">
      <c r="E15" s="6" t="s">
        <v>14</v>
      </c>
    </row>
    <row r="16" spans="1:13" ht="15" x14ac:dyDescent="0.2">
      <c r="E16" s="6" t="s">
        <v>15</v>
      </c>
    </row>
    <row r="17" spans="1:5" ht="15" x14ac:dyDescent="0.2">
      <c r="E17" s="6"/>
    </row>
    <row r="19" spans="1:5" ht="18" x14ac:dyDescent="0.25">
      <c r="A19" s="8" t="s">
        <v>16</v>
      </c>
      <c r="B19" s="8"/>
    </row>
    <row r="20" spans="1:5" ht="15" x14ac:dyDescent="0.2">
      <c r="A20" s="14" t="s">
        <v>32</v>
      </c>
      <c r="B20" s="14"/>
    </row>
    <row r="21" spans="1:5" ht="14.25" x14ac:dyDescent="0.2">
      <c r="A21" s="16"/>
      <c r="B21" s="17" t="s">
        <v>169</v>
      </c>
    </row>
    <row r="22" spans="1:5" ht="15" x14ac:dyDescent="0.2">
      <c r="A22" s="18" t="s">
        <v>34</v>
      </c>
      <c r="B22" s="18" t="s">
        <v>35</v>
      </c>
      <c r="C22" s="18" t="s">
        <v>36</v>
      </c>
      <c r="D22" s="18" t="s">
        <v>38</v>
      </c>
      <c r="E22" s="18" t="s">
        <v>39</v>
      </c>
    </row>
    <row r="23" spans="1:5" x14ac:dyDescent="0.2">
      <c r="A23" s="15" t="s">
        <v>395</v>
      </c>
      <c r="B23" s="4" t="s">
        <v>169</v>
      </c>
      <c r="C23" s="4" t="s">
        <v>172</v>
      </c>
      <c r="D23" s="4" t="s">
        <v>375</v>
      </c>
      <c r="E23" s="7" t="s">
        <v>401</v>
      </c>
    </row>
    <row r="25" spans="1:5" ht="14.25" x14ac:dyDescent="0.2">
      <c r="A25" s="16"/>
      <c r="B25" s="17" t="s">
        <v>33</v>
      </c>
    </row>
    <row r="26" spans="1:5" ht="15" x14ac:dyDescent="0.2">
      <c r="A26" s="18" t="s">
        <v>34</v>
      </c>
      <c r="B26" s="18" t="s">
        <v>35</v>
      </c>
      <c r="C26" s="18" t="s">
        <v>36</v>
      </c>
      <c r="D26" s="18" t="s">
        <v>38</v>
      </c>
      <c r="E26" s="18" t="s">
        <v>39</v>
      </c>
    </row>
    <row r="27" spans="1:5" x14ac:dyDescent="0.2">
      <c r="A27" s="15" t="s">
        <v>22</v>
      </c>
      <c r="B27" s="4" t="s">
        <v>40</v>
      </c>
      <c r="C27" s="4" t="s">
        <v>41</v>
      </c>
      <c r="D27" s="4" t="s">
        <v>354</v>
      </c>
      <c r="E27" s="7" t="s">
        <v>402</v>
      </c>
    </row>
    <row r="32" spans="1:5" ht="18" x14ac:dyDescent="0.25">
      <c r="A32" s="8" t="s">
        <v>43</v>
      </c>
      <c r="B32" s="8"/>
    </row>
    <row r="33" spans="1:3" ht="15" x14ac:dyDescent="0.2">
      <c r="A33" s="18" t="s">
        <v>44</v>
      </c>
      <c r="B33" s="18" t="s">
        <v>45</v>
      </c>
      <c r="C33" s="18" t="s">
        <v>46</v>
      </c>
    </row>
    <row r="34" spans="1:3" x14ac:dyDescent="0.2">
      <c r="A34" s="4" t="s">
        <v>55</v>
      </c>
      <c r="B34" s="4" t="s">
        <v>47</v>
      </c>
      <c r="C34" s="4" t="s">
        <v>403</v>
      </c>
    </row>
    <row r="35" spans="1:3" x14ac:dyDescent="0.2">
      <c r="A35" s="4" t="s">
        <v>26</v>
      </c>
      <c r="B35" s="4" t="s">
        <v>47</v>
      </c>
      <c r="C35" s="4" t="s">
        <v>48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Проф. народный жим 1 вес</vt:lpstr>
      <vt:lpstr>Люб. народный жим 1 вес</vt:lpstr>
      <vt:lpstr>РБ Проф 50 кг.</vt:lpstr>
      <vt:lpstr>РЖ любители 75 кг.</vt:lpstr>
      <vt:lpstr>РЖ любители 55 кг.</vt:lpstr>
      <vt:lpstr>РЖ Проф 100 кг.</vt:lpstr>
      <vt:lpstr>РЖ Проф 75 кг.</vt:lpstr>
      <vt:lpstr>Пауэрспорт Любители</vt:lpstr>
      <vt:lpstr>Бицепс Профессионалы</vt:lpstr>
      <vt:lpstr>Бицепс Любители</vt:lpstr>
      <vt:lpstr>ПРО тяга б.э.</vt:lpstr>
      <vt:lpstr>Люб. тяга б.э.</vt:lpstr>
      <vt:lpstr>ПРО жим б.э.</vt:lpstr>
      <vt:lpstr>Люб. жим б.э.</vt:lpstr>
      <vt:lpstr>ПРО Военный жим 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2021-05-24T08:49:21Z</dcterms:modified>
</cp:coreProperties>
</file>